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auZsJkqlxRvQiYDCU+Ge/8uJRqqYOVt7HWQCY/ms18EEGGlillP/7rR6/Hr8VdYCc+m89Wq2yBMuSMq6g/+wKA==" workbookSaltValue="8mDc5oJmjwbSJns5Xceck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N13" i="2"/>
  <c r="T13" i="12"/>
  <c r="T13" i="16"/>
  <c r="T13" i="20"/>
  <c r="BF15" i="8"/>
  <c r="AU18" i="21"/>
  <c r="AH13" i="16"/>
  <c r="AP13" i="16"/>
  <c r="T18" i="17"/>
  <c r="BE16" i="13"/>
  <c r="AX20" i="20"/>
  <c r="S19" i="8" l="1"/>
  <c r="C12" i="14"/>
  <c r="K12" i="14" s="1"/>
  <c r="BG10" i="8"/>
  <c r="AL16" i="11"/>
  <c r="C16" i="6"/>
  <c r="BD15" i="13"/>
  <c r="BF9" i="8"/>
  <c r="J9" i="7" s="1"/>
  <c r="AB13" i="21"/>
  <c r="BE15" i="13"/>
  <c r="BE9" i="13"/>
  <c r="R8" i="9"/>
  <c r="T11" i="11" s="1"/>
  <c r="S12" i="14"/>
  <c r="V12" i="14" s="1"/>
  <c r="R17" i="14"/>
  <c r="T12" i="11"/>
  <c r="X9" i="17"/>
  <c r="T17" i="20"/>
  <c r="U10" i="21"/>
  <c r="X16" i="20"/>
  <c r="X9" i="16"/>
  <c r="X19" i="16" s="1"/>
  <c r="T17" i="11"/>
  <c r="S10" i="14"/>
  <c r="V10" i="14" s="1"/>
  <c r="R10" i="14"/>
  <c r="R16" i="14"/>
  <c r="S15" i="14"/>
  <c r="V15" i="14" s="1"/>
  <c r="AA16" i="16"/>
  <c r="X12" i="17"/>
  <c r="X15" i="17"/>
  <c r="AA11" i="16"/>
  <c r="X12" i="16"/>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G13" i="2"/>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9" i="12" l="1"/>
  <c r="J18" i="2"/>
  <c r="AM16" i="11"/>
  <c r="AO16" i="17"/>
  <c r="AO12" i="17"/>
  <c r="AQ13" i="21"/>
  <c r="V15" i="16"/>
  <c r="AA9" i="16"/>
  <c r="AA15" i="16"/>
  <c r="AA10" i="16"/>
  <c r="T15" i="11"/>
  <c r="S9" i="14"/>
  <c r="V9" i="14" s="1"/>
  <c r="R12" i="14"/>
  <c r="S17" i="14"/>
  <c r="V17" i="14" s="1"/>
  <c r="X10" i="17"/>
  <c r="V15" i="20"/>
  <c r="V18" i="20" s="1"/>
  <c r="L11" i="2"/>
  <c r="AA12" i="21"/>
  <c r="X17" i="20"/>
  <c r="X13" i="20"/>
  <c r="X16" i="17"/>
  <c r="AM15" i="11"/>
  <c r="S16" i="14"/>
  <c r="V16" i="14" s="1"/>
  <c r="S11" i="14"/>
  <c r="V11" i="14" s="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Q17" i="20"/>
  <c r="Q18" i="20" s="1"/>
  <c r="BF17" i="11"/>
  <c r="S17" i="16"/>
  <c r="V17" i="16"/>
  <c r="BK15" i="11"/>
  <c r="AZ17" i="11"/>
  <c r="Q10" i="21"/>
  <c r="BI17" i="11"/>
  <c r="BL11" i="11"/>
  <c r="T15" i="16"/>
  <c r="BW9" i="20"/>
  <c r="BV15" i="16"/>
  <c r="BU17" i="17"/>
  <c r="AZ16" i="11"/>
  <c r="P15" i="17"/>
  <c r="P18" i="17" s="1"/>
  <c r="P19" i="17" s="1"/>
  <c r="BL15" i="11"/>
  <c r="BJ10" i="11"/>
  <c r="S17" i="17"/>
  <c r="L12" i="2"/>
  <c r="X15" i="16"/>
  <c r="X18" i="16" s="1"/>
  <c r="BJ11" i="11"/>
  <c r="BM15" i="11"/>
  <c r="BV16" i="16"/>
  <c r="BU9" i="17"/>
  <c r="BU12" i="17"/>
  <c r="X17" i="17"/>
  <c r="BH11" i="11"/>
  <c r="BH12" i="16"/>
  <c r="R11" i="14"/>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9" i="21" l="1"/>
  <c r="BE13" i="8"/>
  <c r="AO13" i="17"/>
  <c r="AL13" i="11"/>
  <c r="B13" i="6"/>
  <c r="BU21" i="17"/>
  <c r="BK19"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<sst xmlns="http://schemas.openxmlformats.org/spreadsheetml/2006/main" count="2074" uniqueCount="910">
  <si>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</si>
  <si>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</si>
  <si>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</si>
  <si>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</si>
  <si>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</si>
  <si>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</si>
  <si>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</si>
  <si>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</si>
  <si>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</si>
  <si>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</si>
  <si>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</si>
  <si>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</si>
  <si>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</si>
  <si>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</si>
  <si>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</si>
  <si>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</si>
  <si>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</si>
  <si>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</si>
  <si>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</si>
  <si>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</si>
  <si>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</si>
  <si>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</si>
  <si>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</si>
  <si>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</si>
  <si>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</si>
  <si>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</si>
  <si>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</si>
  <si>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</si>
  <si>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</si>
  <si>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</si>
  <si>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</si>
  <si>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</si>
  <si>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</si>
  <si>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</si>
  <si>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</si>
  <si>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</si>
  <si>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</si>
  <si>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</si>
  <si>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</si>
  <si>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</si>
  <si>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</si>
  <si>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</si>
  <si>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</si>
  <si>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</si>
  <si>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</si>
  <si>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</si>
  <si>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</si>
  <si>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</si>
  <si>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</si>
  <si>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</si>
  <si>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</si>
  <si>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</si>
  <si>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</si>
  <si>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</si>
  <si>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</si>
  <si>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</si>
  <si>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</si>
  <si>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</si>
  <si>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</si>
  <si>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</si>
  <si>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</si>
  <si>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</si>
  <si>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</si>
  <si>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</si>
  <si>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</si>
  <si>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</si>
  <si>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</si>
  <si>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</si>
  <si>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</si>
  <si>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</si>
  <si>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</si>
  <si>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</si>
  <si>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</si>
  <si>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</si>
  <si>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</si>
  <si>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</si>
  <si>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</si>
  <si>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</si>
  <si>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</si>
  <si>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</si>
  <si>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</si>
  <si>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</si>
  <si>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</si>
  <si>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</si>
  <si>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</si>
  <si>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</si>
  <si>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</si>
  <si>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</si>
  <si>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</si>
  <si>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</si>
  <si>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</si>
  <si>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</si>
  <si>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</si>
  <si>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</si>
  <si>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</si>
  <si>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</si>
  <si>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</si>
  <si>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</si>
  <si>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</si>
  <si>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</si>
  <si>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</si>
  <si>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</si>
  <si>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</si>
  <si>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</si>
  <si>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</si>
  <si>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</si>
  <si>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</si>
  <si>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</si>
  <si>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</si>
  <si>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</si>
  <si>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</si>
  <si>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</si>
  <si>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</si>
  <si>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</si>
  <si>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</si>
  <si>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</si>
  <si>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</si>
  <si>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</si>
  <si>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</si>
  <si>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</si>
  <si>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</si>
  <si>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</si>
  <si>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</si>
  <si>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</si>
  <si>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</si>
  <si>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</si>
  <si>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</si>
  <si>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</si>
  <si>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</si>
  <si>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</si>
  <si>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</si>
  <si>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</si>
  <si>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</si>
  <si>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</si>
  <si>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</si>
  <si>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</si>
  <si>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</si>
  <si>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</si>
  <si>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</si>
  <si>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</si>
  <si>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</si>
  <si>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</si>
  <si>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</si>
  <si>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</si>
  <si>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</si>
  <si>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</si>
  <si>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</si>
  <si>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</si>
  <si>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</si>
  <si>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</si>
  <si>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</si>
  <si>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</si>
  <si>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</si>
  <si>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</si>
  <si>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</si>
  <si>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</si>
  <si>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</si>
  <si>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</si>
  <si>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</si>
  <si>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</si>
  <si>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</si>
  <si>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</si>
  <si>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</si>
  <si>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</si>
  <si>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</si>
  <si>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</si>
  <si>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</si>
  <si>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</si>
  <si>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</si>
  <si>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</si>
  <si>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</si>
  <si>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</si>
  <si>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</si>
  <si>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</si>
  <si>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</si>
  <si>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</si>
  <si>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</si>
  <si>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</si>
  <si>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</si>
  <si>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</si>
  <si>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</si>
  <si>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</si>
  <si>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</si>
  <si>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</si>
  <si>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</si>
  <si>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</si>
  <si>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</si>
  <si>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</si>
  <si>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</si>
  <si>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</si>
  <si>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</si>
  <si>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</si>
  <si>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</si>
  <si>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</si>
  <si>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</si>
  <si>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</si>
  <si>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</si>
  <si>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</si>
  <si>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</si>
  <si>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</si>
  <si>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</si>
  <si>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</si>
  <si>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</si>
  <si>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</si>
  <si>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</si>
  <si>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</si>
  <si>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</si>
  <si>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</si>
  <si>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</si>
  <si>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</si>
  <si>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</si>
  <si>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</si>
  <si>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</si>
  <si>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</si>
  <si>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</si>
  <si>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</si>
  <si>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</si>
  <si>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</si>
  <si>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</si>
  <si>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</si>
  <si>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</si>
  <si>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</si>
  <si>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</si>
  <si>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</si>
  <si>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</si>
  <si>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</si>
  <si>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</si>
  <si>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</si>
  <si>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</si>
  <si>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</si>
  <si>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</si>
  <si>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</si>
  <si>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</si>
  <si>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</si>
  <si>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</si>
  <si>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</si>
  <si>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</si>
  <si>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</si>
  <si>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</si>
  <si>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</si>
  <si>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</si>
  <si>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</si>
  <si>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</si>
  <si>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</si>
  <si>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</si>
  <si>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</si>
  <si>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</si>
  <si>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</si>
  <si>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</si>
  <si>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</si>
  <si>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</si>
  <si>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</si>
  <si>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</si>
  <si>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</si>
  <si>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</si>
  <si>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</si>
  <si>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</si>
  <si>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</si>
  <si>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</si>
  <si>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</si>
  <si>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</si>
  <si>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</si>
  <si>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</si>
  <si>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</si>
  <si>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</si>
  <si>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</si>
  <si>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</si>
  <si>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</si>
  <si>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</si>
  <si>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</si>
  <si>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</si>
  <si>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</si>
  <si>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</si>
  <si>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</si>
  <si>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</si>
  <si>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</si>
  <si>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</si>
  <si>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</si>
  <si>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</si>
  <si>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</si>
  <si>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</si>
  <si>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</si>
  <si>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</si>
  <si>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</si>
  <si>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</si>
  <si>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</si>
  <si>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</si>
  <si>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</si>
  <si>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</si>
  <si>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</si>
  <si>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</si>
  <si>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</si>
  <si>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</si>
  <si>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</si>
  <si>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</si>
  <si>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</si>
  <si>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</si>
  <si>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</si>
  <si>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</si>
  <si>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</si>
  <si>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</si>
  <si>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</si>
  <si>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</si>
  <si>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</si>
  <si>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</si>
  <si>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</si>
  <si>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</si>
  <si>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</si>
  <si>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</si>
  <si>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</si>
  <si>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</si>
  <si>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</si>
  <si>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</si>
  <si>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</si>
  <si>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</si>
  <si>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</si>
  <si>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</si>
  <si>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</si>
  <si>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</si>
  <si>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</si>
  <si>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</si>
  <si>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</si>
  <si>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</si>
  <si>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</si>
  <si>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</si>
  <si>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</si>
  <si>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</si>
  <si>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</si>
  <si>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</si>
  <si>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</si>
  <si>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</si>
  <si>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</si>
  <si>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</si>
  <si>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</si>
  <si>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</si>
  <si>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</si>
  <si>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</si>
  <si>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</si>
  <si>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</si>
  <si>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</si>
  <si>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</si>
  <si>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</si>
  <si>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</si>
  <si>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</si>
  <si>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</si>
  <si>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</si>
  <si>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</si>
  <si>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</si>
  <si>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</si>
  <si>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</si>
  <si>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</si>
  <si>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</si>
  <si>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</si>
  <si>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</si>
  <si>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</si>
  <si>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</si>
  <si>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</si>
  <si>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</si>
  <si>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</si>
  <si>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</si>
  <si>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</si>
  <si>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</si>
  <si>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</si>
  <si>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</si>
  <si>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</si>
  <si>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</si>
  <si>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</si>
  <si>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</si>
  <si>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</si>
  <si>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</si>
  <si>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</si>
  <si>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</si>
  <si>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</si>
  <si>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</si>
  <si>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</si>
  <si>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</si>
  <si>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</si>
  <si>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</si>
  <si>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</si>
  <si>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</si>
  <si>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</si>
  <si>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</si>
  <si>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</si>
  <si>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</si>
  <si>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</si>
  <si>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</si>
  <si>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</si>
  <si>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</si>
  <si>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</si>
  <si>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</si>
  <si>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</si>
  <si>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</si>
  <si>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</si>
  <si>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</si>
  <si>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</si>
  <si>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</si>
  <si>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</si>
  <si>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</si>
  <si>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</si>
  <si>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</si>
  <si>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</si>
  <si>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</si>
  <si>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</si>
  <si>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</si>
  <si>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</si>
  <si>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</si>
  <si>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</si>
  <si>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</si>
  <si>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</si>
  <si>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</si>
  <si>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</si>
  <si>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</si>
  <si>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</si>
  <si>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</si>
  <si>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</si>
  <si>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</si>
  <si>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</si>
  <si>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</si>
  <si>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</si>
  <si>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</si>
  <si>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</si>
  <si>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</si>
  <si>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</si>
  <si>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</si>
  <si>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</si>
  <si>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</si>
  <si>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</si>
  <si>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</si>
  <si>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</si>
  <si>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</si>
  <si>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</si>
  <si>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</si>
  <si>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</si>
  <si>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</si>
  <si>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</si>
  <si>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</si>
  <si>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</si>
  <si>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</si>
  <si>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</si>
  <si>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</si>
  <si>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</si>
  <si>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</si>
  <si>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</si>
  <si>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</si>
  <si>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</si>
  <si>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</si>
  <si>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</si>
  <si>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</si>
  <si>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</si>
  <si>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</si>
  <si>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</si>
  <si>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</si>
  <si>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</si>
  <si>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</si>
  <si>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</si>
  <si>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</si>
  <si>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</si>
  <si>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</si>
  <si>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</si>
  <si>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</si>
  <si>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</si>
  <si>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</si>
  <si>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</si>
  <si>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</si>
  <si>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</si>
  <si>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</si>
  <si>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</si>
  <si>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</si>
  <si>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</si>
  <si>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</si>
  <si>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</si>
  <si>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</si>
  <si>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</si>
  <si>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</si>
  <si>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</si>
  <si>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</si>
  <si>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</si>
  <si>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</si>
  <si>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</si>
  <si>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</si>
  <si>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</si>
  <si>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</si>
  <si>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</si>
  <si>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</si>
  <si>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</si>
  <si>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</si>
  <si>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</si>
  <si>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</si>
  <si>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</si>
  <si>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</si>
  <si>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</si>
  <si>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</si>
  <si>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</si>
  <si>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</si>
  <si>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</si>
  <si>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</si>
  <si>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</si>
  <si>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</si>
  <si>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</si>
  <si>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</si>
  <si>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</si>
  <si>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</si>
  <si>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</si>
  <si>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</si>
  <si>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</si>
  <si>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</si>
  <si>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</si>
  <si>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</si>
  <si>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</si>
  <si>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</si>
  <si>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</si>
  <si>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</si>
  <si>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</si>
  <si>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</si>
  <si>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</si>
  <si>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</si>
  <si>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</si>
  <si>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</si>
  <si>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</si>
  <si>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</si>
  <si>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</si>
  <si>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</si>
  <si>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</si>
  <si>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</si>
  <si>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</si>
  <si>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</si>
  <si>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</si>
  <si>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</si>
  <si>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</si>
  <si>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</si>
  <si>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</si>
  <si>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</si>
  <si>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</si>
  <si>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</si>
  <si>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</si>
  <si>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</si>
  <si>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</si>
  <si>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</si>
  <si>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</si>
  <si>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</si>
  <si>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</si>
  <si>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</si>
  <si>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</si>
  <si>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</si>
  <si>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</si>
  <si>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</si>
  <si>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</si>
  <si>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</si>
  <si>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</si>
  <si>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</si>
  <si>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</si>
  <si>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</si>
  <si>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</si>
  <si>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</si>
  <si>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</si>
  <si>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</si>
  <si>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</si>
  <si>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</si>
  <si>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</si>
  <si>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</si>
  <si>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</si>
  <si>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</si>
  <si>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</si>
  <si>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</si>
  <si>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</si>
  <si>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</si>
  <si>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</si>
  <si>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</si>
  <si>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</si>
  <si>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</si>
  <si>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</si>
  <si>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</si>
  <si>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</si>
  <si>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</si>
  <si>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</si>
  <si>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</si>
  <si>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</si>
  <si>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</si>
  <si>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</si>
  <si>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</si>
  <si>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</si>
  <si>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</si>
  <si>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</si>
  <si>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</si>
  <si>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</si>
  <si>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</si>
  <si>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</si>
  <si>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</si>
  <si>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</si>
  <si>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</si>
  <si>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</si>
  <si>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</si>
  <si>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</si>
  <si>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</si>
  <si>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</si>
  <si>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</si>
  <si>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</si>
  <si>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</si>
  <si>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</si>
  <si>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</si>
  <si>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</si>
  <si>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</si>
  <si>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</si>
  <si>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</si>
  <si>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</si>
  <si>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</si>
  <si>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</si>
  <si>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</si>
  <si>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</si>
  <si>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</si>
  <si>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</si>
  <si>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</si>
  <si>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</si>
  <si>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</si>
  <si>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</si>
  <si>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</si>
  <si>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</si>
  <si>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</si>
  <si>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</si>
  <si>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</si>
  <si>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</si>
  <si>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</si>
  <si>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</si>
  <si>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</si>
  <si>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</si>
  <si>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</si>
  <si>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</si>
  <si>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</si>
  <si>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</si>
  <si>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</si>
  <si>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</si>
  <si>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</si>
  <si>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</si>
  <si>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</si>
  <si>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</si>
  <si>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</si>
  <si>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</si>
  <si>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</si>
  <si>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</si>
  <si>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</si>
  <si>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</si>
  <si>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</si>
  <si>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</si>
  <si>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</si>
  <si>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</si>
  <si>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</si>
  <si>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</si>
  <si>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</si>
  <si>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</si>
  <si>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</si>
  <si>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</si>
  <si>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</si>
  <si>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</si>
  <si>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</si>
  <si>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</si>
  <si>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</si>
  <si>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</si>
  <si>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</si>
  <si>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</si>
  <si>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</si>
  <si>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</si>
  <si>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</si>
  <si>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</si>
  <si>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</si>
  <si>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</si>
  <si>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</si>
  <si>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</si>
  <si>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</si>
  <si>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</si>
  <si>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</si>
  <si>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</si>
  <si>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</si>
  <si>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</si>
  <si>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</si>
  <si>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</si>
  <si>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</si>
  <si>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</si>
  <si>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</si>
  <si>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</si>
  <si>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</si>
  <si>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</si>
  <si>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</si>
  <si>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</si>
  <si>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</si>
  <si>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</si>
  <si>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</si>
  <si>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</si>
  <si>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</si>
  <si>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</si>
  <si>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</si>
  <si>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</si>
  <si>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</si>
  <si>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</si>
  <si>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</si>
  <si>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</si>
  <si>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</si>
  <si>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</si>
  <si>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</si>
  <si>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</si>
  <si>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</si>
  <si>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</si>
  <si>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</si>
  <si>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</si>
  <si>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</si>
  <si>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</si>
  <si>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</si>
  <si>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</si>
  <si>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</si>
  <si>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</si>
  <si>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</si>
  <si>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</si>
  <si>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</si>
  <si>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</si>
  <si>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</si>
  <si>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</si>
  <si>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</si>
  <si>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</si>
  <si>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</si>
  <si>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</si>
  <si>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</si>
  <si>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</si>
  <si>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</si>
  <si>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</si>
  <si>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</si>
  <si>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</si>
  <si>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</si>
  <si>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</si>
  <si>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</si>
  <si>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</si>
  <si>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</si>
  <si>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</si>
  <si>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</si>
  <si>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</si>
  <si>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</si>
  <si>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</si>
  <si>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</si>
  <si>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</si>
  <si>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</si>
  <si>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</si>
  <si>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</si>
  <si>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</si>
  <si>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</si>
  <si>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</si>
  <si>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</si>
  <si>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</si>
  <si>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</si>
  <si>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</si>
  <si>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</si>
  <si>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</si>
  <si>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</si>
  <si>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</si>
  <si>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</si>
  <si>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</si>
  <si>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</si>
  <si>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</si>
  <si>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</si>
  <si>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</si>
  <si>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</si>
  <si>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</si>
  <si>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</si>
  <si>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</si>
  <si>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</si>
  <si>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</si>
  <si>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</si>
  <si>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</si>
  <si>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</si>
  <si>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</si>
  <si>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</si>
  <si>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</si>
  <si>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</si>
  <si>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</si>
  <si>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</si>
  <si>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</si>
  <si>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</si>
  <si>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</si>
  <si>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</si>
  <si>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</si>
  <si>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</si>
  <si>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</si>
  <si>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</si>
  <si>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</si>
  <si>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</si>
  <si>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</si>
  <si>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</si>
  <si>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</si>
  <si>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</si>
  <si>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</si>
  <si>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</si>
  <si>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</si>
  <si>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</si>
  <si>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</si>
  <si>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</si>
  <si>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</si>
  <si>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</si>
  <si>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</si>
  <si>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</si>
  <si>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</si>
  <si>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</si>
  <si>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</si>
  <si>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</si>
  <si>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</si>
  <si>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</si>
  <si>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</si>
  <si>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</si>
  <si>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</si>
  <si>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</si>
  <si>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</si>
  <si>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</si>
  <si>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</si>
  <si>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</si>
  <si>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</si>
  <si>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</si>
  <si>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</si>
  <si>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</si>
  <si>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</si>
  <si>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</si>
  <si>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</si>
  <si>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</si>
  <si>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</si>
  <si>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</si>
  <si>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</si>
  <si>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</si>
  <si>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</si>
  <si>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</si>
  <si>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</si>
  <si>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</si>
  <si>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</si>
  <si>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</si>
  <si>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</si>
  <si>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</si>
  <si>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</si>
  <si>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</si>
  <si>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</si>
  <si>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</si>
  <si>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</si>
  <si>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</si>
  <si>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</si>
  <si>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</si>
  <si>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</si>
  <si>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</si>
  <si>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</si>
  <si>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</si>
  <si>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</si>
  <si>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</si>
  <si>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</si>
  <si>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</si>
  <si>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</si>
  <si>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</si>
  <si>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</si>
  <si>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</si>
  <si>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</si>
  <si>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</si>
  <si>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</si>
  <si>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</si>
  <si>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</si>
  <si>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</si>
  <si>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</si>
  <si>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</si>
  <si>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</si>
  <si>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</si>
  <si>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</si>
  <si>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</si>
  <si>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</si>
  <si>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</si>
  <si>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</si>
  <si>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</si>
  <si>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</si>
  <si>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</si>
  <si>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</si>
  <si>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</si>
  <si>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</si>
  <si>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</si>
  <si>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</si>
  <si>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</si>
  <si>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</si>
  <si>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</si>
  <si>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</si>
  <si>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</si>
  <si>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</si>
  <si>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</si>
  <si>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</si>
  <si>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</si>
  <si>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</si>
  <si>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</si>
  <si>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</si>
  <si>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</si>
  <si>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</si>
  <si>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</si>
  <si>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</si>
  <si>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</si>
  <si>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</si>
  <si>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</si>
  <si>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</si>
  <si>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</si>
  <si>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</si>
  <si>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</si>
  <si>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</si>
  <si>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</si>
  <si>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</si>
  <si>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</si>
  <si>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</si>
  <si>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</si>
  <si>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</si>
  <si>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</si>
  <si>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</si>
  <si>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</si>
  <si>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</si>
  <si>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LEON</t>
  </si>
  <si>
    <t>Resumenes por Partidos Judiciales</t>
  </si>
  <si>
    <t>PONFERRADA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</si>
</sst>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eAZEXQGUU7oOSH8fzKTPGZjpeWLqsOjIRVVKCKOcZzYQTVsOyltzI3LYtsRjLdgQoaxaOuPqXlu/m5ZnSbZgQ==" saltValue="tPvkSIGkAlvlhxNWpLNG3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PONFERRADA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4242</v>
      </c>
      <c r="D9" s="404">
        <f>IF(ISNUMBER(C9/Datos!BH9),C9/Datos!BH9," - ")</f>
        <v>848.4</v>
      </c>
      <c r="E9" s="403">
        <f>IF(ISNUMBER(IF(J_V="SI",Datos!J9,Datos!J9+Datos!Z9)),IF(J_V="SI",Datos!J9,Datos!J9+Datos!Z9)," - ")</f>
        <v>2095</v>
      </c>
      <c r="F9" s="404">
        <f>IF(ISNUMBER(E9/B9),E9/B9," - ")</f>
        <v>349.16666666666669</v>
      </c>
      <c r="G9" s="403">
        <f>IF(ISNUMBER(IF(J_V="SI",Datos!K9,Datos!K9+Datos!AA9)),IF(J_V="SI",Datos!K9,Datos!K9+Datos!AA9)," - ")</f>
        <v>2251</v>
      </c>
      <c r="H9" s="404">
        <f>IF(ISNUMBER(G9/B9),G9/B9," - ")</f>
        <v>375.16666666666669</v>
      </c>
      <c r="I9" s="403">
        <f>IF(ISNUMBER(IF(J_V="SI",Datos!L9,Datos!L9+Datos!AB9)),IF(J_V="SI",Datos!L9,Datos!L9+Datos!AB9)," - ")</f>
        <v>4036</v>
      </c>
      <c r="J9" s="404">
        <f>IF(ISNUMBER(I9/B9),I9/B9," - ")</f>
        <v>672.66666666666663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28</v>
      </c>
      <c r="D10" s="404">
        <f>IF(ISNUMBER(C10/Datos!BH10),C10/Datos!BH10," - ")</f>
        <v>28</v>
      </c>
      <c r="E10" s="403">
        <f>IF(ISNUMBER(Datos!J10),Datos!J10," - ")</f>
        <v>12</v>
      </c>
      <c r="F10" s="404">
        <f>IF(ISNUMBER(E10/B10),E10/B10," - ")</f>
        <v>12</v>
      </c>
      <c r="G10" s="403">
        <f>IF(ISNUMBER(Datos!K10),Datos!K10," - ")</f>
        <v>20</v>
      </c>
      <c r="H10" s="404">
        <f>IF(ISNUMBER(G10/B10),G10/B10," - ")</f>
        <v>20</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41</v>
      </c>
      <c r="D12" s="404" t="str">
        <f>IF(ISNUMBER(C12/Datos!BH12),C12/Datos!BH12," - ")</f>
        <v xml:space="preserve"> - </v>
      </c>
      <c r="E12" s="403">
        <f>IF(ISNUMBER(IF(J_V="SI",Datos!J12,Datos!J12+Datos!Z12)),IF(J_V="SI",Datos!J12,Datos!J12+Datos!Z12)," - ")</f>
        <v>1</v>
      </c>
      <c r="F12" s="404" t="str">
        <f>IF(ISNUMBER(E12/B12),E12/B12," - ")</f>
        <v xml:space="preserve"> - </v>
      </c>
      <c r="G12" s="403">
        <f>IF(ISNUMBER(IF(J_V="SI",Datos!K12,Datos!K12+Datos!AA12)),IF(J_V="SI",Datos!K12,Datos!K12+Datos!AA12)," - ")</f>
        <v>17</v>
      </c>
      <c r="H12" s="404" t="str">
        <f>IF(ISNUMBER(G12/B12),G12/B12," - ")</f>
        <v xml:space="preserve"> - </v>
      </c>
      <c r="I12" s="403">
        <f>IF(ISNUMBER(IF(J_V="SI",Datos!L12,Datos!L12+Datos!AB12)),IF(J_V="SI",Datos!L12,Datos!L12+Datos!AB12)," - ")</f>
        <v>32</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4311</v>
      </c>
      <c r="D13" s="850" t="str">
        <f>IF(ISNUMBER(C13/Datos!BI13),C13/Datos!BI13," - ")</f>
        <v xml:space="preserve"> - </v>
      </c>
      <c r="E13" s="849">
        <f>SUBTOTAL(9,E8:E12)</f>
        <v>2108</v>
      </c>
      <c r="F13" s="850">
        <f>IF(ISNUMBER(E13/B13),E13/B13," - ")</f>
        <v>351.33333333333331</v>
      </c>
      <c r="G13" s="849">
        <f>SUBTOTAL(9,G8:G12)</f>
        <v>2288</v>
      </c>
      <c r="H13" s="850">
        <f>IF(ISNUMBER(G13/B13),G13/B13," - ")</f>
        <v>381.33333333333331</v>
      </c>
      <c r="I13" s="849">
        <f>SUBTOTAL(9,I8:I12)</f>
        <v>4086</v>
      </c>
      <c r="J13" s="850">
        <f>IF(ISNUMBER(I13/B13),I13/B13," - ")</f>
        <v>681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2081</v>
      </c>
      <c r="D15" s="404">
        <f>IF(ISNUMBER(C15/Datos!BH15),C15/Datos!BH15," - ")</f>
        <v>693.66666666666663</v>
      </c>
      <c r="E15" s="403">
        <f>IF(ISNUMBER(IF(D_I="SI",Datos!J15,Datos!J15+Datos!AD15)),IF(D_I="SI",Datos!J15,Datos!J15+Datos!AD15)," - ")</f>
        <v>1617</v>
      </c>
      <c r="F15" s="404">
        <f>IF(ISNUMBER(E15/B15),E15/B15," - ")</f>
        <v>539</v>
      </c>
      <c r="G15" s="403">
        <f>IF(ISNUMBER(IF(D_I="SI",Datos!K15,Datos!K15+Datos!AE15)),IF(D_I="SI",Datos!K15,Datos!K15+Datos!AE15)," - ")</f>
        <v>1596</v>
      </c>
      <c r="H15" s="404">
        <f>IF(ISNUMBER(G15/B15),G15/B15," - ")</f>
        <v>532</v>
      </c>
      <c r="I15" s="403">
        <f>IF(ISNUMBER(IF(D_I="SI",Datos!L15,Datos!L15+Datos!AF15)),IF(D_I="SI",Datos!L15,Datos!L15+Datos!AF15)," - ")</f>
        <v>2200</v>
      </c>
      <c r="J15" s="404">
        <f>IF(ISNUMBER(I15/B15),I15/B15," - ")</f>
        <v>733.33333333333337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171</v>
      </c>
      <c r="D16" s="404" t="str">
        <f>IF(ISNUMBER(C16/Datos!BH16),C16/Datos!BH16," - ")</f>
        <v xml:space="preserve"> - </v>
      </c>
      <c r="E16" s="403">
        <f>IF(ISNUMBER(IF(D_I="SI",Datos!J16,Datos!J16+Datos!AD16)),IF(D_I="SI",Datos!J16,Datos!J16+Datos!AD16)," - ")</f>
        <v>6</v>
      </c>
      <c r="F16" s="404" t="str">
        <f>IF(ISNUMBER(E16/B16),E16/B16," - ")</f>
        <v xml:space="preserve"> - </v>
      </c>
      <c r="G16" s="403">
        <f>IF(ISNUMBER(IF(D_I="SI",Datos!K16,Datos!K16+Datos!AE16)),IF(D_I="SI",Datos!K16,Datos!K16+Datos!AE16)," - ")</f>
        <v>25</v>
      </c>
      <c r="H16" s="404" t="str">
        <f>IF(ISNUMBER(G16/B16),G16/B16," - ")</f>
        <v xml:space="preserve"> - </v>
      </c>
      <c r="I16" s="403">
        <f>IF(ISNUMBER(IF(D_I="SI",Datos!L16,Datos!L16+Datos!AF16)),IF(D_I="SI",Datos!L16,Datos!L16+Datos!AF16)," - ")</f>
        <v>152</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226</v>
      </c>
      <c r="D17" s="404">
        <f>IF(ISNUMBER(C17/Datos!BH17),C17/Datos!BH17," - ")</f>
        <v>226</v>
      </c>
      <c r="E17" s="403">
        <f>IF(ISNUMBER(IF(D_I="SI",Datos!J17,Datos!J17+Datos!AD17)),IF(D_I="SI",Datos!J17,Datos!J17+Datos!AD17)," - ")</f>
        <v>167</v>
      </c>
      <c r="F17" s="404">
        <f>IF(ISNUMBER(E17/B17),E17/B17," - ")</f>
        <v>167</v>
      </c>
      <c r="G17" s="403">
        <f>IF(ISNUMBER(IF(D_I="SI",Datos!K17,Datos!K17+Datos!AE17)),IF(D_I="SI",Datos!K17,Datos!K17+Datos!AE17)," - ")</f>
        <v>118</v>
      </c>
      <c r="H17" s="404">
        <f>IF(ISNUMBER(G17/B17),G17/B17," - ")</f>
        <v>118</v>
      </c>
      <c r="I17" s="403">
        <f>IF(ISNUMBER(IF(D_I="SI",Datos!L17,Datos!L17+Datos!AF17)),IF(D_I="SI",Datos!L17,Datos!L17+Datos!AF17)," - ")</f>
        <v>275</v>
      </c>
      <c r="J17" s="404">
        <f>IF(ISNUMBER(I17/B17),I17/B17," - ")</f>
        <v>275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2478</v>
      </c>
      <c r="D18" s="850" t="str">
        <f>IF(ISNUMBER(C18/Datos!BI18),C18/Datos!BI18," - ")</f>
        <v xml:space="preserve"> - </v>
      </c>
      <c r="E18" s="849">
        <f>SUBTOTAL(9,E14:E17)</f>
        <v>1790</v>
      </c>
      <c r="F18" s="850">
        <f>IF(ISNUMBER(E18/B18),E18/B18," - ")</f>
        <v>596.66666666666663</v>
      </c>
      <c r="G18" s="849">
        <f>SUBTOTAL(9,G14:G17)</f>
        <v>1739</v>
      </c>
      <c r="H18" s="850">
        <f>IF(ISNUMBER(G18/B18),G18/B18," - ")</f>
        <v>579.66666666666663</v>
      </c>
      <c r="I18" s="849">
        <f>SUBTOTAL(9,I14:I17)</f>
        <v>2627</v>
      </c>
      <c r="J18" s="850">
        <f>IF(ISNUMBER(I18/B18),I18/B18," - ")</f>
        <v>875.66666666666663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6789</v>
      </c>
      <c r="D19" s="795" t="str">
        <f>IF(ISNUMBER(C19/Datos!BI19),C19/Datos!BI19," - ")</f>
        <v xml:space="preserve"> - </v>
      </c>
      <c r="E19" s="794">
        <f>SUBTOTAL(9,E9:E18)</f>
        <v>3898</v>
      </c>
      <c r="F19" s="795">
        <f>IF(ISNUMBER(E19/B19),E19/B19," - ")</f>
        <v>433.11111111111109</v>
      </c>
      <c r="G19" s="794">
        <f>SUBTOTAL(9,G9:G18)</f>
        <v>4027</v>
      </c>
      <c r="H19" s="795">
        <f>IF(ISNUMBER(G19/B19),G19/B19," - ")</f>
        <v>447.44444444444446</v>
      </c>
      <c r="I19" s="794">
        <f>SUBTOTAL(9,I9:I18)</f>
        <v>6713</v>
      </c>
      <c r="J19" s="795">
        <f>IF(ISNUMBER(I19/B19),I19/B19," - ")</f>
        <v>745.88888888888891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NmU/jOLRFDYBiVGE8I++Tim2paznCvTPcBPVL13bqDshzU+KZqtfifJDHJI3wqw93Y3qsclIyM6ohJ5F3KIEaA==" saltValue="D3BqzWu/3bDwLrCFZuFmr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PONFERRADA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2ukUQviXkvxWrBDf8YkhSAo5gEphiog5PNhfuagQ61XrTXEIje5b7Mv4Nt2gJOMB2I5z8DP3249SVo1jp/edxg==" saltValue="c+nW/vMADlj9Q/t+FB9yy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PONFERRADA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1024</v>
      </c>
      <c r="E9" s="404">
        <f t="shared" ref="E9:E13" si="0">IF(ISNUMBER(D9/B9),D9/B9," - ")</f>
        <v>170.66666666666666</v>
      </c>
      <c r="F9" s="403">
        <f>IF(ISNUMBER(Datos!N9),Datos!N9," - ")</f>
        <v>529</v>
      </c>
      <c r="G9" s="404">
        <f t="shared" ref="G9:G13" si="1">IF(ISNUMBER(F9/B9),F9/B9," - ")</f>
        <v>88.166666666666671</v>
      </c>
      <c r="H9" s="403">
        <f>IF(ISNUMBER(Datos!O9),Datos!O9," - ")</f>
        <v>923</v>
      </c>
      <c r="I9" s="404">
        <f>IF(ISNUMBER(H9/B9),H9/B9," - ")</f>
        <v>153.83333333333334</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7</v>
      </c>
      <c r="G10" s="404">
        <f>IF(ISNUMBER(F10/B10),F10/B10," - ")</f>
        <v>7</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6</v>
      </c>
      <c r="E12" s="404" t="str">
        <f t="shared" si="0"/>
        <v xml:space="preserve"> - </v>
      </c>
      <c r="F12" s="403">
        <f>IF(ISNUMBER(Datos!N12),Datos!N12," - ")</f>
        <v>6</v>
      </c>
      <c r="G12" s="404" t="str">
        <f t="shared" si="1"/>
        <v xml:space="preserve"> - </v>
      </c>
      <c r="H12" s="403">
        <f>IF(ISNUMBER(Datos!O12),Datos!O12," - ")</f>
        <v>45</v>
      </c>
      <c r="I12" s="404" t="str">
        <f t="shared" si="2"/>
        <v xml:space="preserve"> - </v>
      </c>
      <c r="BZ12" s="1186">
        <f>Datos!EZ12</f>
        <v>0</v>
      </c>
    </row>
    <row r="13" spans="1:78" ht="14.25" thickTop="1" thickBot="1">
      <c r="A13" s="848" t="str">
        <f>Datos!A13</f>
        <v>TOTAL</v>
      </c>
      <c r="B13" s="849">
        <f>Datos!AP13</f>
        <v>6</v>
      </c>
      <c r="C13" s="851">
        <f>Datos!AR13</f>
        <v>6</v>
      </c>
      <c r="D13" s="849">
        <f>SUBTOTAL(9,D9:D12)</f>
        <v>1039</v>
      </c>
      <c r="E13" s="850">
        <f t="shared" si="0"/>
        <v>173.16666666666666</v>
      </c>
      <c r="F13" s="849">
        <f>SUBTOTAL(9,F9:F12)</f>
        <v>542</v>
      </c>
      <c r="G13" s="850">
        <f t="shared" si="1"/>
        <v>90.333333333333329</v>
      </c>
      <c r="H13" s="849">
        <f>SUBTOTAL(9,H9:H12)</f>
        <v>970</v>
      </c>
      <c r="I13" s="850">
        <f>IF(ISNUMBER(H13/B13),H13/B13," - ")</f>
        <v>161.66666666666666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208</v>
      </c>
      <c r="E15" s="404">
        <f t="shared" ref="E15:E18" si="3">IF(ISNUMBER(D15/B15),D15/B15," - ")</f>
        <v>69.333333333333329</v>
      </c>
      <c r="F15" s="403">
        <f>IF(ISNUMBER(Datos!N15),Datos!N15," - ")</f>
        <v>913</v>
      </c>
      <c r="G15" s="404">
        <f t="shared" ref="G15:G18" si="4">IF(ISNUMBER(F15/B15),F15/B15," - ")</f>
        <v>304.33333333333331</v>
      </c>
      <c r="H15" s="403">
        <f>IF(ISNUMBER(Datos!O15),Datos!O15," - ")</f>
        <v>46</v>
      </c>
      <c r="I15" s="404">
        <f t="shared" ref="I15:I17" si="5">IF(ISNUMBER(H15/B15),H15/B15," - ")</f>
        <v>15.333333333333334</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7</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59</v>
      </c>
      <c r="G17" s="404">
        <f>IF(ISNUMBER(F17/B17),F17/B17," - ")</f>
        <v>59</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218</v>
      </c>
      <c r="E18" s="850">
        <f t="shared" si="3"/>
        <v>72.666666666666671</v>
      </c>
      <c r="F18" s="849">
        <f>SUBTOTAL(9,F15:F17)</f>
        <v>979</v>
      </c>
      <c r="G18" s="850">
        <f t="shared" si="4"/>
        <v>326.33333333333331</v>
      </c>
      <c r="H18" s="849">
        <f>SUBTOTAL(9,H15:H17)</f>
        <v>47</v>
      </c>
      <c r="I18" s="850">
        <f>IF(ISNUMBER(H18/B18),H18/B18," - ")</f>
        <v>15.666666666666666</v>
      </c>
      <c r="BZ18" s="1186"/>
    </row>
    <row r="19" spans="1:78" ht="14.25" thickTop="1" thickBot="1">
      <c r="A19" s="793" t="str">
        <f>Datos!A19</f>
        <v>TOTAL JURISDICCIONES</v>
      </c>
      <c r="B19" s="794">
        <f>Datos!AP19</f>
        <v>9</v>
      </c>
      <c r="C19" s="794">
        <f>Datos!AR19</f>
        <v>9</v>
      </c>
      <c r="D19" s="794">
        <f>SUBTOTAL(9,D8:D18)</f>
        <v>1257</v>
      </c>
      <c r="E19" s="795">
        <f>IF(ISNUMBER(D19/B19),D19/B19," - ")</f>
        <v>139.66666666666666</v>
      </c>
      <c r="F19" s="794">
        <f>SUBTOTAL(9,F8:F18)</f>
        <v>1521</v>
      </c>
      <c r="G19" s="795">
        <f>IF(ISNUMBER(F19/B19),F19/B19," - ")</f>
        <v>169</v>
      </c>
      <c r="H19" s="794">
        <f>SUBTOTAL(9,H8:H18)</f>
        <v>1017</v>
      </c>
      <c r="I19" s="795">
        <f>IF(ISNUMBER(H19/B19),H19/B19," - ")</f>
        <v>113</v>
      </c>
    </row>
    <row r="22" spans="1:78">
      <c r="A22" s="391" t="str">
        <f>Criterios!A4</f>
        <v>Fecha Informe: 27 feb. 2025</v>
      </c>
    </row>
    <row r="27" spans="1:78">
      <c r="A27" s="414"/>
    </row>
  </sheetData>
  <sheetProtection algorithmName="SHA-512" hashValue="kTYZeerkSn/w5h1ua8t0md6kpeyI3GvYpto4zS0+ahafoHdKatIh93pQ31WaHAYkKJ8BTiXW671ZMWc69Q8QgQ==" saltValue="+48J73/ohXbOKT1A29LBC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PONFERRADA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596</v>
      </c>
      <c r="C9" s="434">
        <f>IF(ISNUMBER(Datos!Q9),Datos!Q9," - ")</f>
        <v>214</v>
      </c>
      <c r="D9" s="408">
        <f>IF(ISNUMBER(Datos!R9),Datos!R9," - ")</f>
        <v>5313</v>
      </c>
    </row>
    <row r="10" spans="1:4">
      <c r="A10" s="402" t="str">
        <f>Datos!A10</f>
        <v>Jdos. Violencia contra la mujer</v>
      </c>
      <c r="B10" s="433">
        <f>IF(ISNUMBER(Datos!P10),Datos!P10," - ")</f>
        <v>8</v>
      </c>
      <c r="C10" s="434">
        <f>IF(ISNUMBER(Datos!Q10),Datos!Q10," - ")</f>
        <v>1</v>
      </c>
      <c r="D10" s="408">
        <f>IF(ISNUMBER(Datos!R10),Datos!R10," - ")</f>
        <v>55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35</v>
      </c>
      <c r="D12" s="408">
        <f>IF(ISNUMBER(Datos!R12),Datos!R12," - ")</f>
        <v>1814</v>
      </c>
    </row>
    <row r="13" spans="1:4" ht="14.25" thickTop="1" thickBot="1">
      <c r="A13" s="848" t="str">
        <f>Datos!A13</f>
        <v>TOTAL</v>
      </c>
      <c r="B13" s="849">
        <f>SUBTOTAL(9,B9:B12)</f>
        <v>604</v>
      </c>
      <c r="C13" s="853">
        <f>SUBTOTAL(9,C9:C12)</f>
        <v>250</v>
      </c>
      <c r="D13" s="851">
        <f>SUBTOTAL(9,D9:D12)</f>
        <v>7182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71</v>
      </c>
      <c r="C15" s="434">
        <f>IF(ISNUMBER(Datos!Q15),Datos!Q15," - ")</f>
        <v>62</v>
      </c>
      <c r="D15" s="408">
        <f>IF(ISNUMBER(Datos!R15),Datos!R15," - ")</f>
        <v>253</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0</v>
      </c>
      <c r="C17" s="434">
        <f>IF(ISNUMBER(Datos!Q17),Datos!Q17," - ")</f>
        <v>1</v>
      </c>
      <c r="D17" s="408">
        <f>IF(ISNUMBER(Datos!R17),Datos!R17," - ")</f>
        <v>5</v>
      </c>
    </row>
    <row r="18" spans="1:4" ht="14.25" thickTop="1" thickBot="1">
      <c r="A18" s="848" t="str">
        <f>Datos!A18</f>
        <v>TOTAL</v>
      </c>
      <c r="B18" s="849">
        <f>SUBTOTAL(9,B15:B17)</f>
        <v>71</v>
      </c>
      <c r="C18" s="853">
        <f>SUBTOTAL(9,C15:C17)</f>
        <v>63</v>
      </c>
      <c r="D18" s="851">
        <f>SUBTOTAL(9,D15:D17)</f>
        <v>258</v>
      </c>
    </row>
    <row r="19" spans="1:4" ht="16.5" customHeight="1" thickTop="1" thickBot="1">
      <c r="A19" s="793" t="str">
        <f>Datos!A19</f>
        <v>TOTAL JURISDICCIONES</v>
      </c>
      <c r="B19" s="798">
        <f>SUBTOTAL(9,B8:B18)</f>
        <v>675</v>
      </c>
      <c r="C19" s="799">
        <f>SUBTOTAL(9,C8:C18)</f>
        <v>313</v>
      </c>
      <c r="D19" s="800">
        <f>SUBTOTAL(9,D8:D18)</f>
        <v>7440</v>
      </c>
    </row>
    <row r="20" spans="1:4" ht="7.5" customHeight="1"/>
    <row r="21" spans="1:4" ht="6" customHeight="1"/>
    <row r="22" spans="1:4">
      <c r="A22" s="391" t="str">
        <f>Criterios!A4</f>
        <v>Fecha Informe: 27 feb. 2025</v>
      </c>
    </row>
    <row r="27" spans="1:4">
      <c r="A27" s="414"/>
    </row>
  </sheetData>
  <sheetProtection algorithmName="SHA-512" hashValue="E6DL+QJfjpQyJlEPnW6CLyo6S6KcPCIkQflUGQln1vA4O2fnNmnfSYkEN2o9Q0ih5dztbpQGfAeNXJh+ZM81AA==" saltValue="HCYjEJtLamtba76IIFJmG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PONFERRADA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0.25838030258083655</v>
      </c>
      <c r="C9" s="456">
        <f>IF(ISNUMBER(
   IF(J_V="SI",(Datos!J9-Datos!T9)/Datos!T9,(Datos!J9+Datos!Z9-(Datos!T9+Datos!AH9))/(Datos!T9+Datos!AH9))
     ),IF(J_V="SI",(Datos!J9-Datos!T9)/Datos!T9,(Datos!J9+Datos!Z9-(Datos!T9+Datos!AH9))/(Datos!T9+Datos!AH9))," - ")</f>
        <v>-3.5006909258406264E-2</v>
      </c>
      <c r="D9" s="456">
        <f>IF(ISNUMBER(
   IF(J_V="SI",(Datos!K9-Datos!U9)/Datos!U9,(Datos!K9+Datos!AA9-(Datos!U9+Datos!AI9))/(Datos!U9+Datos!AI9))
     ),IF(J_V="SI",(Datos!K9-Datos!U9)/Datos!U9,(Datos!K9+Datos!AA9-(Datos!U9+Datos!AI9))/(Datos!U9+Datos!AI9))," - ")</f>
        <v>0.102890739833415</v>
      </c>
      <c r="E9" s="456">
        <f>IF(ISNUMBER(
   IF(J_V="SI",(Datos!L9-Datos!V9)/Datos!V9,(Datos!L9+Datos!AB9-(Datos!V9+Datos!AJ9))/(Datos!V9+Datos!AJ9))
     ),IF(J_V="SI",(Datos!L9-Datos!V9)/Datos!V9,(Datos!L9+Datos!AB9-(Datos!V9+Datos!AJ9))/(Datos!V9+Datos!AJ9))," - ")</f>
        <v>0.16613695463738803</v>
      </c>
      <c r="F9" s="456">
        <f>IF(ISNUMBER((Datos!M9-Datos!W9)/Datos!W9),(Datos!M9-Datos!W9)/Datos!W9," - ")</f>
        <v>0.71812080536912748</v>
      </c>
      <c r="G9" s="457">
        <f>IF(ISNUMBER((Datos!N9-Datos!X9)/Datos!X9),(Datos!N9-Datos!X9)/Datos!X9," - ")</f>
        <v>-0.10792580101180438</v>
      </c>
      <c r="H9" s="455">
        <f>IF(ISNUMBER(((NºAsuntos!G9/NºAsuntos!E9)-Datos!BD9)/Datos!BD9),((NºAsuntos!G9/NºAsuntos!E9)-Datos!BD9)/Datos!BD9," - ")</f>
        <v>0.1429001413739113</v>
      </c>
      <c r="I9" s="456">
        <f>IF(ISNUMBER(((NºAsuntos!I9/NºAsuntos!G9)-Datos!BE9)/Datos!BE9),((NºAsuntos!I9/NºAsuntos!G9)-Datos!BE9)/Datos!BE9," - ")</f>
        <v>5.7345857136787685E-2</v>
      </c>
      <c r="J9" s="461">
        <f>IF(ISNUMBER((('Resol  Asuntos'!D9/NºAsuntos!G9)-Datos!BF9)/Datos!BF9),(('Resol  Asuntos'!D9/NºAsuntos!G9)-Datos!BF9)/Datos!BF9," - ")</f>
        <v>0.56571521894335131</v>
      </c>
      <c r="K9" s="462">
        <f>IF(ISNUMBER((((NºAsuntos!C9+NºAsuntos!E9)/NºAsuntos!G9)-Datos!BG9)/Datos!BG9),(((NºAsuntos!C9+NºAsuntos!E9)/NºAsuntos!G9)-Datos!BG9)/Datos!BG9," - ")</f>
        <v>3.6775427289142577E-2</v>
      </c>
    </row>
    <row r="10" spans="1:11">
      <c r="A10" s="402" t="str">
        <f>Datos!A10</f>
        <v>Jdos. Violencia contra la mujer</v>
      </c>
      <c r="B10" s="455">
        <f>IF(ISNUMBER((Datos!I10-Datos!S10)/Datos!S10),(Datos!I10-Datos!S10)/Datos!S10," - ")</f>
        <v>0.4</v>
      </c>
      <c r="C10" s="456">
        <f>IF(ISNUMBER((Datos!J10-Datos!T10)/Datos!T10),(Datos!J10-Datos!T10)/Datos!T10," - ")</f>
        <v>-0.29411764705882354</v>
      </c>
      <c r="D10" s="456">
        <f>IF(ISNUMBER((Datos!K10-Datos!U10)/Datos!U10),(Datos!K10-Datos!U10)/Datos!U10," - ")</f>
        <v>0.53846153846153844</v>
      </c>
      <c r="E10" s="456">
        <f>IF(ISNUMBER((Datos!L10-Datos!V10)/Datos!V10),(Datos!L10-Datos!V10)/Datos!V10," - ")</f>
        <v>-0.25</v>
      </c>
      <c r="F10" s="456">
        <f>IF(ISNUMBER((Datos!M10-Datos!W10)/Datos!W10),(Datos!M10-Datos!W10)/Datos!W10," - ")</f>
        <v>0.5</v>
      </c>
      <c r="G10" s="457">
        <f>IF(ISNUMBER((Datos!N10-Datos!X10)/Datos!X10),(Datos!N10-Datos!X10)/Datos!X10," - ")</f>
        <v>0.4</v>
      </c>
      <c r="H10" s="455">
        <f>IF(ISNUMBER(((NºAsuntos!G10/NºAsuntos!E10)-Datos!BD10)/Datos!BD10),((NºAsuntos!G10/NºAsuntos!E10)-Datos!BD10)/Datos!BD10," - ")</f>
        <v>1.1794871794871797</v>
      </c>
      <c r="I10" s="456">
        <f>IF(ISNUMBER(((NºAsuntos!I10/NºAsuntos!G10)-Datos!BE10)/Datos!BE10),((NºAsuntos!I10/NºAsuntos!G10)-Datos!BE10)/Datos!BE10," - ")</f>
        <v>-0.51250000000000007</v>
      </c>
      <c r="J10" s="461">
        <f>IF(ISNUMBER((('Resol  Asuntos'!D10/NºAsuntos!G10)-Datos!BF10)/Datos!BF10),(('Resol  Asuntos'!D10/NºAsuntos!G10)-Datos!BF10)/Datos!BF10," - ")</f>
        <v>-2.5000000000000029E-2</v>
      </c>
      <c r="K10" s="462">
        <f>IF(ISNUMBER((((NºAsuntos!C10+NºAsuntos!E10)/NºAsuntos!G10)-Datos!BG10)/Datos!BG10),(((NºAsuntos!C10+NºAsuntos!E10)/NºAsuntos!G10)-Datos!BG10)/Datos!BG10," - ")</f>
        <v>-0.29729729729729731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-0.75882352941176467</v>
      </c>
      <c r="C12" s="456">
        <f>IF(ISNUMBER(
   IF(J_V="SI",(Datos!J12-Datos!T12)/Datos!T12,(Datos!J12+Datos!Z12-(Datos!T12+Datos!AH12))/(Datos!T12+Datos!AH12))
     ),IF(J_V="SI",(Datos!J12-Datos!T12)/Datos!T12,(Datos!J12+Datos!Z12-(Datos!T12+Datos!AH12))/(Datos!T12+Datos!AH12))," - ")</f>
        <v>-0.90909090909090906</v>
      </c>
      <c r="D12" s="456">
        <f>IF(ISNUMBER(
   IF(J_V="SI",(Datos!K12-Datos!U12)/Datos!U12,(Datos!K12+Datos!AA12-(Datos!U12+Datos!AI12))/(Datos!U12+Datos!AI12))
     ),IF(J_V="SI",(Datos!K12-Datos!U12)/Datos!U12,(Datos!K12+Datos!AA12-(Datos!U12+Datos!AI12))/(Datos!U12+Datos!AI12))," - ")</f>
        <v>-0.839622641509434</v>
      </c>
      <c r="E12" s="456">
        <f>IF(ISNUMBER(
   IF(J_V="SI",(Datos!L12-Datos!V12)/Datos!V12,(Datos!L12+Datos!AB12-(Datos!V12+Datos!AJ12))/(Datos!V12+Datos!AJ12))
     ),IF(J_V="SI",(Datos!L12-Datos!V12)/Datos!V12,(Datos!L12+Datos!AB12-(Datos!V12+Datos!AJ12))/(Datos!V12+Datos!AJ12))," - ")</f>
        <v>-0.63218390804597702</v>
      </c>
      <c r="F12" s="456">
        <f>IF(ISNUMBER((Datos!M12-Datos!W12)/Datos!W12),(Datos!M12-Datos!W12)/Datos!W12," - ")</f>
        <v>-0.85</v>
      </c>
      <c r="G12" s="457">
        <f>IF(ISNUMBER((Datos!N12-Datos!X12)/Datos!X12),(Datos!N12-Datos!X12)/Datos!X12," - ")</f>
        <v>-0.73913043478260865</v>
      </c>
      <c r="H12" s="455">
        <f>IF(ISNUMBER(((NºAsuntos!G12/NºAsuntos!E12)-Datos!BD12)/Datos!BD12),((NºAsuntos!G12/NºAsuntos!E12)-Datos!BD12)/Datos!BD12," - ")</f>
        <v>0.76415094339622636</v>
      </c>
      <c r="I12" s="456">
        <f>IF(ISNUMBER(((NºAsuntos!I12/NºAsuntos!G12)-Datos!BE12)/Datos!BE12),((NºAsuntos!I12/NºAsuntos!G12)-Datos!BE12)/Datos!BE12," - ")</f>
        <v>1.293441514536849</v>
      </c>
      <c r="J12" s="461">
        <f>IF(ISNUMBER((('Resol  Asuntos'!D12/NºAsuntos!G12)-Datos!BF12)/Datos!BF12),(('Resol  Asuntos'!D12/NºAsuntos!G12)-Datos!BF12)/Datos!BF12," - ")</f>
        <v>0.62659846547314579</v>
      </c>
      <c r="K12" s="462">
        <f>IF(ISNUMBER((((NºAsuntos!C12+NºAsuntos!E12)/NºAsuntos!G12)-Datos!BG12)/Datos!BG12),(((NºAsuntos!C12+NºAsuntos!E12)/NºAsuntos!G12)-Datos!BG12)/Datos!BG12," - ")</f>
        <v>0.44686382840429001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0.21061499578770007</v>
      </c>
      <c r="C13" s="855">
        <f>IF(ISNUMBER(
   IF(J_V="SI",(Datos!J13-Datos!T13)/Datos!T13,(Datos!J13+Datos!Z13-(Datos!T13+Datos!AH13))/(Datos!T13+Datos!AH13))
     ),IF(J_V="SI",(Datos!J13-Datos!T13)/Datos!T13,(Datos!J13+Datos!Z13-(Datos!T13+Datos!AH13))/(Datos!T13+Datos!AH13))," - ")</f>
        <v>-4.1382446566621191E-2</v>
      </c>
      <c r="D13" s="855">
        <f>IF(ISNUMBER(
   IF(J_V="SI",(Datos!K13-Datos!U13)/Datos!U13,(Datos!K13+Datos!AA13-(Datos!U13+Datos!AI13))/(Datos!U13+Datos!AI13))
     ),IF(J_V="SI",(Datos!K13-Datos!U13)/Datos!U13,(Datos!K13+Datos!AA13-(Datos!U13+Datos!AI13))/(Datos!U13+Datos!AI13))," - ")</f>
        <v>5.9259259259259262E-2</v>
      </c>
      <c r="E13" s="855">
        <f>IF(ISNUMBER(
   IF(J_V="SI",(Datos!L13-Datos!V13)/Datos!V13,(Datos!L13+Datos!AB13-(Datos!V13+Datos!AJ13))/(Datos!V13+Datos!AJ13))
     ),IF(J_V="SI",(Datos!L13-Datos!V13)/Datos!V13,(Datos!L13+Datos!AB13-(Datos!V13+Datos!AJ13))/(Datos!V13+Datos!AJ13))," - ")</f>
        <v>0.1438969764837626</v>
      </c>
      <c r="F13" s="856">
        <f>IF(ISNUMBER((Datos!M13-Datos!W13)/Datos!W13),(Datos!M13-Datos!W13)/Datos!W13," - ")</f>
        <v>0.61838006230529596</v>
      </c>
      <c r="G13" s="857">
        <f>IF(ISNUMBER((Datos!N13-Datos!X13)/Datos!X13),(Datos!N13-Datos!X13)/Datos!X13," - ")</f>
        <v>-0.12721417069243157</v>
      </c>
      <c r="H13" s="857">
        <f>IF(ISNUMBER(((NºAsuntos!G13/NºAsuntos!E13)-Datos!BD13)/Datos!BD13),((NºAsuntos!G13/NºAsuntos!E13)-Datos!BD13)/Datos!BD13," - ")</f>
        <v>0.10498629559350631</v>
      </c>
      <c r="I13" s="857">
        <f>IF(ISNUMBER(((NºAsuntos!I13/NºAsuntos!G13)-Datos!BE13)/Datos!BE13),((NºAsuntos!I13/NºAsuntos!G13)-Datos!BE13)/Datos!BE13," - ")</f>
        <v>7.9902740037118544E-2</v>
      </c>
      <c r="J13" s="857">
        <f>IF(ISNUMBER((('Resol  Asuntos'!D13/NºAsuntos!G13)-Datos!BF13)/Datos!BF13),(('Resol  Asuntos'!D13/NºAsuntos!G13)-Datos!BF13)/Datos!BF13," - ")</f>
        <v>0.57696804802914126</v>
      </c>
      <c r="K13" s="857">
        <f>IF(ISNUMBER((((NºAsuntos!C13+NºAsuntos!E13)/NºAsuntos!G13)-Datos!BG13)/Datos!BG13),(((NºAsuntos!C13+NºAsuntos!E13)/NºAsuntos!G13)-Datos!BG13)/Datos!BG13," - ")</f>
        <v>5.2065122377622397E-2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0.24313022700119474</v>
      </c>
      <c r="C15" s="456">
        <f>IF(ISNUMBER(
   IF(D_I="SI",(Datos!J15-Datos!T15)/Datos!T15,(Datos!J15+Datos!AD15-(Datos!T15+Datos!AL15))/(Datos!T15+Datos!AL15))
     ),IF(D_I="SI",(Datos!J15-Datos!T15)/Datos!T15,(Datos!J15+Datos!AD15-(Datos!T15+Datos!AL15))/(Datos!T15+Datos!AL15))," - ")</f>
        <v>0.14114326040931546</v>
      </c>
      <c r="D15" s="456">
        <f>IF(ISNUMBER(
   IF(D_I="SI",(Datos!K15-Datos!U15)/Datos!U15,(Datos!K15+Datos!AE15-(Datos!U15+Datos!AM15))/(Datos!U15+Datos!AM15))
     ),IF(D_I="SI",(Datos!K15-Datos!U15)/Datos!U15,(Datos!K15+Datos!AE15-(Datos!U15+Datos!AM15))/(Datos!U15+Datos!AM15))," - ")</f>
        <v>0.34343434343434343</v>
      </c>
      <c r="E15" s="456">
        <f>IF(ISNUMBER(
   IF(D_I="SI",(Datos!L15-Datos!V15)/Datos!V15,(Datos!L15+Datos!AF15-(Datos!V15+Datos!AN15))/(Datos!V15+Datos!AN15))
     ),IF(D_I="SI",(Datos!L15-Datos!V15)/Datos!V15,(Datos!L15+Datos!AF15-(Datos!V15+Datos!AN15))/(Datos!V15+Datos!AN15))," - ")</f>
        <v>0.18854673149648837</v>
      </c>
      <c r="F15" s="456">
        <f>IF(ISNUMBER((Datos!M15-Datos!W15)/Datos!W15),(Datos!M15-Datos!W15)/Datos!W15," - ")</f>
        <v>0.36842105263157893</v>
      </c>
      <c r="G15" s="457">
        <f>IF(ISNUMBER((Datos!N15-Datos!X15)/Datos!X15),(Datos!N15-Datos!X15)/Datos!X15," - ")</f>
        <v>0.15423514538558786</v>
      </c>
      <c r="H15" s="455">
        <f>IF(ISNUMBER(((NºAsuntos!G15/NºAsuntos!E15)-Datos!BD15)/Datos!BD15),((NºAsuntos!G15/NºAsuntos!E15)-Datos!BD15)/Datos!BD15," - ")</f>
        <v>0.17727054090690447</v>
      </c>
      <c r="I15" s="456">
        <f>IF(ISNUMBER(((NºAsuntos!I15/NºAsuntos!G15)-Datos!BE15)/Datos!BE15),((NºAsuntos!I15/NºAsuntos!G15)-Datos!BE15)/Datos!BE15," - ")</f>
        <v>-0.11529228257028311</v>
      </c>
      <c r="J15" s="461">
        <f>IF(ISNUMBER((('Resol  Asuntos'!D15/NºAsuntos!G15)-Datos!BF15)/Datos!BF15),(('Resol  Asuntos'!D15/NºAsuntos!G15)-Datos!BF15)/Datos!BF15," - ")</f>
        <v>1.8599129402453441E-2</v>
      </c>
      <c r="K15" s="462">
        <f>IF(ISNUMBER((((NºAsuntos!C15+NºAsuntos!E15)/NºAsuntos!G15)-Datos!BG15)/Datos!BG15),(((NºAsuntos!C15+NºAsuntos!E15)/NºAsuntos!G15)-Datos!BG15)/Datos!BG15," - ")</f>
        <v>-0.10946405158804474</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-0.54032258064516125</v>
      </c>
      <c r="C16" s="456">
        <f>IF(ISNUMBER(
   IF(D_I="SI",(Datos!J16-Datos!T16)/Datos!T16,(Datos!J16+Datos!AD16-(Datos!T16+Datos!AL16))/(Datos!T16+Datos!AL16))
     ),IF(D_I="SI",(Datos!J16-Datos!T16)/Datos!T16,(Datos!J16+Datos!AD16-(Datos!T16+Datos!AL16))/(Datos!T16+Datos!AL16))," - ")</f>
        <v>-0.83333333333333337</v>
      </c>
      <c r="D16" s="456">
        <f>IF(ISNUMBER(
   IF(D_I="SI",(Datos!K16-Datos!U16)/Datos!U16,(Datos!K16+Datos!AE16-(Datos!U16+Datos!AM16))/(Datos!U16+Datos!AM16))
     ),IF(D_I="SI",(Datos!K16-Datos!U16)/Datos!U16,(Datos!K16+Datos!AE16-(Datos!U16+Datos!AM16))/(Datos!U16+Datos!AM16))," - ")</f>
        <v>-0.81343283582089554</v>
      </c>
      <c r="E16" s="456">
        <f>IF(ISNUMBER(
   IF(D_I="SI",(Datos!L16-Datos!V16)/Datos!V16,(Datos!L16+Datos!AF16-(Datos!V16+Datos!AN16))/(Datos!V16+Datos!AN16))
     ),IF(D_I="SI",(Datos!L16-Datos!V16)/Datos!V16,(Datos!L16+Datos!AF16-(Datos!V16+Datos!AN16))/(Datos!V16+Datos!AN16))," - ")</f>
        <v>-0.46853146853146854</v>
      </c>
      <c r="F16" s="456">
        <f>IF(ISNUMBER((Datos!M16-Datos!W16)/Datos!W16),(Datos!M16-Datos!W16)/Datos!W16," - ")</f>
        <v>-1</v>
      </c>
      <c r="G16" s="457">
        <f>IF(ISNUMBER((Datos!N16-Datos!X16)/Datos!X16),(Datos!N16-Datos!X16)/Datos!X16," - ")</f>
        <v>-0.83333333333333337</v>
      </c>
      <c r="H16" s="455">
        <f>IF(ISNUMBER(((NºAsuntos!G16/NºAsuntos!E16)-Datos!BD16)/Datos!BD16),((NºAsuntos!G16/NºAsuntos!E16)-Datos!BD16)/Datos!BD16," - ")</f>
        <v>0.11940298507462692</v>
      </c>
      <c r="I16" s="456">
        <f>IF(ISNUMBER(((NºAsuntos!I16/NºAsuntos!G16)-Datos!BE16)/Datos!BE16),((NºAsuntos!I16/NºAsuntos!G16)-Datos!BE16)/Datos!BE16," - ")</f>
        <v>1.8486713286713286</v>
      </c>
      <c r="J16" s="461">
        <f>IF(ISNUMBER((('Resol  Asuntos'!D16/NºAsuntos!G16)-Datos!BF16)/Datos!BF16),(('Resol  Asuntos'!D16/NºAsuntos!G16)-Datos!BF16)/Datos!BF16," - ")</f>
        <v>-1</v>
      </c>
      <c r="K16" s="462">
        <f>IF(ISNUMBER((((NºAsuntos!C16+NºAsuntos!E16)/NºAsuntos!G16)-Datos!BG16)/Datos!BG16),(((NºAsuntos!C16+NºAsuntos!E16)/NºAsuntos!G16)-Datos!BG16)/Datos!BG16," - ")</f>
        <v>1.325294117647059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0.16494845360824742</v>
      </c>
      <c r="C17" s="456">
        <f>IF(ISNUMBER(
   IF(D_I="SI",(Datos!J17-Datos!T17)/Datos!T17,(Datos!J17+Datos!AD17-(Datos!T17+Datos!AL17))/(Datos!T17+Datos!AL17))
     ),IF(D_I="SI",(Datos!J17-Datos!T17)/Datos!T17,(Datos!J17+Datos!AD17-(Datos!T17+Datos!AL17))/(Datos!T17+Datos!AL17))," - ")</f>
        <v>0.3046875</v>
      </c>
      <c r="D17" s="456">
        <f>IF(ISNUMBER(
   IF(D_I="SI",(Datos!K17-Datos!U17)/Datos!U17,(Datos!K17+Datos!AE17-(Datos!U17+Datos!AM17))/(Datos!U17+Datos!AM17))
     ),IF(D_I="SI",(Datos!K17-Datos!U17)/Datos!U17,(Datos!K17+Datos!AE17-(Datos!U17+Datos!AM17))/(Datos!U17+Datos!AM17))," - ")</f>
        <v>0.34090909090909088</v>
      </c>
      <c r="E17" s="456">
        <f>IF(ISNUMBER(
   IF(D_I="SI",(Datos!L17-Datos!V17)/Datos!V17,(Datos!L17+Datos!AF17-(Datos!V17+Datos!AN17))/(Datos!V17+Datos!AN17))
     ),IF(D_I="SI",(Datos!L17-Datos!V17)/Datos!V17,(Datos!L17+Datos!AF17-(Datos!V17+Datos!AN17))/(Datos!V17+Datos!AN17))," - ")</f>
        <v>0.29107981220657275</v>
      </c>
      <c r="F17" s="456">
        <f>IF(ISNUMBER((Datos!M17-Datos!W17)/Datos!W17),(Datos!M17-Datos!W17)/Datos!W17," - ")</f>
        <v>-0.2857142857142857</v>
      </c>
      <c r="G17" s="457">
        <f>IF(ISNUMBER((Datos!N17-Datos!X17)/Datos!X17),(Datos!N17-Datos!X17)/Datos!X17," - ")</f>
        <v>-3.2786885245901641E-2</v>
      </c>
      <c r="H17" s="455">
        <f>IF(ISNUMBER(((NºAsuntos!G17/NºAsuntos!E17)-Datos!BD17)/Datos!BD17),((NºAsuntos!G17/NºAsuntos!E17)-Datos!BD17)/Datos!BD17," - ")</f>
        <v>2.7762656505171502E-2</v>
      </c>
      <c r="I17" s="456">
        <f>IF(ISNUMBER(((NºAsuntos!I17/NºAsuntos!G17)-Datos!BE17)/Datos!BE17),((NºAsuntos!I17/NºAsuntos!G17)-Datos!BE17)/Datos!BE17," - ")</f>
        <v>-3.716081801543724E-2</v>
      </c>
      <c r="J17" s="461">
        <f>IF(ISNUMBER((('Resol  Asuntos'!D17/NºAsuntos!G17)-Datos!BF17)/Datos!BF17),(('Resol  Asuntos'!D17/NºAsuntos!G17)-Datos!BF17)/Datos!BF17," - ")</f>
        <v>-0.46731234866828086</v>
      </c>
      <c r="K17" s="462">
        <f>IF(ISNUMBER((((NºAsuntos!C17+NºAsuntos!E17)/NºAsuntos!G17)-Datos!BG17)/Datos!BG17),(((NºAsuntos!C17+NºAsuntos!E17)/NºAsuntos!G17)-Datos!BG17)/Datos!BG17," - ")</f>
        <v>-8.97989262027582E-2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0.10625</v>
      </c>
      <c r="C18" s="855">
        <f>IF(ISNUMBER(
   IF(Criterios!B14="SI",(Datos!J18-Datos!T18)/Datos!T18,(Datos!J18+Datos!AD18-(Datos!T18+Datos!AL18))/(Datos!T18+Datos!AL18))
     ),IF(Criterios!B14="SI",(Datos!J18-Datos!T18)/Datos!T18,(Datos!J18+Datos!AD18-(Datos!T18+Datos!AL18))/(Datos!T18+Datos!AL18))," - ")</f>
        <v>0.13219481340923467</v>
      </c>
      <c r="D18" s="855">
        <f>IF(ISNUMBER(
   IF(Criterios!B14="SI",(Datos!K18-Datos!U18)/Datos!U18,(Datos!K18+Datos!AE18-(Datos!U18+Datos!AM18))/(Datos!U18+Datos!AM18))
     ),IF(Criterios!B14="SI",(Datos!K18-Datos!U18)/Datos!U18,(Datos!K18+Datos!AE18-(Datos!U18+Datos!AM18))/(Datos!U18+Datos!AM18))," - ")</f>
        <v>0.23333333333333334</v>
      </c>
      <c r="E18" s="855">
        <f>IF(ISNUMBER(
   IF(Criterios!B14="SI",(Datos!L18-Datos!V18)/Datos!V18,(Datos!L18+Datos!AF18-(Datos!V18+Datos!AN18))/(Datos!V18+Datos!AN18))
     ),IF(Criterios!B14="SI",(Datos!L18-Datos!V18)/Datos!V18,(Datos!L18+Datos!AF18-(Datos!V18+Datos!AN18))/(Datos!V18+Datos!AN18))," - ")</f>
        <v>0.11787234042553192</v>
      </c>
      <c r="F18" s="856">
        <f>IF(ISNUMBER((Datos!M18-Datos!W18)/Datos!W18),(Datos!M18-Datos!W18)/Datos!W18," - ")</f>
        <v>0.18478260869565216</v>
      </c>
      <c r="G18" s="857">
        <f>IF(ISNUMBER((Datos!N18-Datos!X18)/Datos!X18),(Datos!N18-Datos!X18)/Datos!X18," - ")</f>
        <v>9.507829977628636E-2</v>
      </c>
      <c r="H18" s="857">
        <f>IF(ISNUMBER(((NºAsuntos!G18/NºAsuntos!E18)-Datos!BD18)/Datos!BD18),((NºAsuntos!G18/NºAsuntos!E18)-Datos!BD18)/Datos!BD18," - ")</f>
        <v>8.9329608938547425E-2</v>
      </c>
      <c r="I18" s="857">
        <f>IF(ISNUMBER(((NºAsuntos!I18/NºAsuntos!G18)-Datos!BE18)/Datos!BE18),((NºAsuntos!I18/NºAsuntos!G18)-Datos!BE18)/Datos!BE18," - ")</f>
        <v>-9.3617021276595741E-2</v>
      </c>
      <c r="J18" s="857">
        <f>IF(ISNUMBER((('Resol  Asuntos'!D18/NºAsuntos!G18)-Datos!BF18)/Datos!BF18),(('Resol  Asuntos'!D18/NºAsuntos!G18)-Datos!BF18)/Datos!BF18," - ")</f>
        <v>-3.9365452408930614E-2</v>
      </c>
      <c r="K18" s="857">
        <f>IF(ISNUMBER((((NºAsuntos!C18+NºAsuntos!E18)/NºAsuntos!G18)-Datos!BG18)/Datos!BG18),(((NºAsuntos!C18+NºAsuntos!E18)/NºAsuntos!G18)-Datos!BG18)/Datos!BG18," - ")</f>
        <v>-9.4336419643930775E-2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0.17031546285123256</v>
      </c>
      <c r="C19" s="802">
        <f>IF(ISNUMBER(
   IF(J_V="SI",(Datos!J19-Datos!T19)/Datos!T19,(Datos!J19+Datos!Z19-(Datos!T19+Datos!AH19))/(Datos!T19+Datos!AH19))
     ),IF(J_V="SI",(Datos!J19-Datos!T19)/Datos!T19,(Datos!J19+Datos!Z19-(Datos!T19+Datos!AH19))/(Datos!T19+Datos!AH19))," - ")</f>
        <v>3.1216931216931216E-2</v>
      </c>
      <c r="D19" s="802">
        <f>IF(ISNUMBER(
   IF(J_V="SI",(Datos!K19-Datos!U19)/Datos!U19,(Datos!K19+Datos!AA19-(Datos!U19+Datos!AI19))/(Datos!U19+Datos!AI19))
     ),IF(J_V="SI",(Datos!K19-Datos!U19)/Datos!U19,(Datos!K19+Datos!AA19-(Datos!U19+Datos!AI19))/(Datos!U19+Datos!AI19))," - ")</f>
        <v>0.12801120448179271</v>
      </c>
      <c r="E19" s="802">
        <f>IF(ISNUMBER(
   IF(J_V="SI",(Datos!L19-Datos!V19)/Datos!V19,(Datos!L19+Datos!AB19-(Datos!V19+Datos!AJ19))/(Datos!V19+Datos!AJ19))
     ),IF(J_V="SI",(Datos!L19-Datos!V19)/Datos!V19,(Datos!L19+Datos!AB19-(Datos!V19+Datos!AJ19))/(Datos!V19+Datos!AJ19))," - ")</f>
        <v>0.13356973995271867</v>
      </c>
      <c r="F19" s="803">
        <f>IF(ISNUMBER((Datos!M19-Datos!W19)/Datos!W19),(Datos!M19-Datos!W19)/Datos!W19," - ")</f>
        <v>0.52179176755447942</v>
      </c>
      <c r="G19" s="804">
        <f>IF(ISNUMBER((Datos!N19-Datos!X19)/Datos!X19),(Datos!N19-Datos!X19)/Datos!X19," - ")</f>
        <v>3.9603960396039604E-3</v>
      </c>
      <c r="H19" s="805">
        <f>IF(ISNUMBER((Tasas!B19-Datos!BD19)/Datos!BD19),(Tasas!B19-Datos!BD19)/Datos!BD19," - ")</f>
        <v>9.3864123381522904E-2</v>
      </c>
      <c r="I19" s="806">
        <f>IF(ISNUMBER((Tasas!C19-Datos!BE19)/Datos!BE19),(Tasas!C19-Datos!BE19)/Datos!BE19," - ")</f>
        <v>4.9277307254049045E-3</v>
      </c>
      <c r="J19" s="807">
        <f>IF(ISNUMBER((Tasas!D19-Datos!BF19)/Datos!BF19),(Tasas!D19-Datos!BF19)/Datos!BF19," - ")</f>
        <v>0.38256902385325853</v>
      </c>
      <c r="K19" s="807">
        <f>IF(ISNUMBER((Tasas!E19-Datos!BG19)/Datos!BG19),(Tasas!E19-Datos!BG19)/Datos!BG19," - ")</f>
        <v>-1.1147409199364418E-2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vDAj/HMEuEf8q2+p9Z58thkQHlSMH69DDRRmYaKy1uE6pjakkIzQ9T01rbpsI03z8ffciAWCN9WD+ctyshCGw==" saltValue="Dh8eu3obdjNjSFnThHmPF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PONFERRADA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1.0744630071599046</v>
      </c>
      <c r="C9" s="443">
        <f>IF(ISNUMBER(NºAsuntos!I9/NºAsuntos!G9),NºAsuntos!I9/NºAsuntos!G9," - ")</f>
        <v>1.7929808973789427</v>
      </c>
      <c r="D9" s="444">
        <f>IF(ISNUMBER('Resol  Asuntos'!D9/NºAsuntos!G9),'Resol  Asuntos'!D9/NºAsuntos!G9," - ")</f>
        <v>0.45490892936472677</v>
      </c>
      <c r="E9" s="445">
        <f>IF(ISNUMBER((NºAsuntos!C9+NºAsuntos!E9)/NºAsuntos!G9),(NºAsuntos!C9+NºAsuntos!E9)/NºAsuntos!G9," - ")</f>
        <v>2.8151932474455799</v>
      </c>
      <c r="G9" s="463"/>
    </row>
    <row r="10" spans="1:7">
      <c r="A10" s="402" t="str">
        <f>Datos!A10</f>
        <v>Jdos. Violencia contra la mujer</v>
      </c>
      <c r="B10" s="442">
        <f>IF(ISNUMBER(NºAsuntos!G10/NºAsuntos!E10),NºAsuntos!G10/NºAsuntos!E10," - ")</f>
        <v>1.6666666666666667</v>
      </c>
      <c r="C10" s="443">
        <f>IF(ISNUMBER(NºAsuntos!I10/NºAsuntos!G10),NºAsuntos!I10/NºAsuntos!G10," - ")</f>
        <v>0.9</v>
      </c>
      <c r="D10" s="444">
        <f>IF(ISNUMBER('Resol  Asuntos'!D10/NºAsuntos!G10),'Resol  Asuntos'!D10/NºAsuntos!G10," - ")</f>
        <v>0.45</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17</v>
      </c>
      <c r="C12" s="443">
        <f>IF(ISNUMBER(NºAsuntos!I12/NºAsuntos!G12),NºAsuntos!I12/NºAsuntos!G12," - ")</f>
        <v>1.8823529411764706</v>
      </c>
      <c r="D12" s="444">
        <f>IF(ISNUMBER('Resol  Asuntos'!D12/NºAsuntos!G12),'Resol  Asuntos'!D12/NºAsuntos!G12," - ")</f>
        <v>0.35294117647058826</v>
      </c>
      <c r="E12" s="445">
        <f>IF(ISNUMBER((NºAsuntos!C12+NºAsuntos!E12)/NºAsuntos!G12),(NºAsuntos!C12+NºAsuntos!E12)/NºAsuntos!G12," - ")</f>
        <v>2.4705882352941178</v>
      </c>
      <c r="G12" s="463"/>
    </row>
    <row r="13" spans="1:7" ht="14.25" thickTop="1" thickBot="1">
      <c r="A13" s="848" t="str">
        <f>Datos!A13</f>
        <v>TOTAL</v>
      </c>
      <c r="B13" s="858">
        <f>IF(ISNUMBER(NºAsuntos!G13/NºAsuntos!E13),NºAsuntos!G13/NºAsuntos!E13," - ")</f>
        <v>1.0853889943074004</v>
      </c>
      <c r="C13" s="859">
        <f>IF(ISNUMBER(NºAsuntos!I13/NºAsuntos!G13),NºAsuntos!I13/NºAsuntos!G13," - ")</f>
        <v>1.7858391608391608</v>
      </c>
      <c r="D13" s="860">
        <f>IF(ISNUMBER('Resol  Asuntos'!D13/NºAsuntos!G13),'Resol  Asuntos'!D13/NºAsuntos!G13," - ")</f>
        <v>0.45410839160839161</v>
      </c>
      <c r="E13" s="861">
        <f>IF(ISNUMBER((NºAsuntos!C13+NºAsuntos!E13)/NºAsuntos!G13),(NºAsuntos!C13+NºAsuntos!E13)/NºAsuntos!G13," - ")</f>
        <v>2.8055069930069929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0.98701298701298701</v>
      </c>
      <c r="C15" s="443">
        <f>IF(ISNUMBER(NºAsuntos!I15/NºAsuntos!G15),NºAsuntos!I15/NºAsuntos!G15," - ")</f>
        <v>1.3784461152882206</v>
      </c>
      <c r="D15" s="444">
        <f>IF(ISNUMBER('Resol  Asuntos'!D15/NºAsuntos!G15),'Resol  Asuntos'!D15/NºAsuntos!G15," - ")</f>
        <v>0.13032581453634084</v>
      </c>
      <c r="E15" s="445">
        <f>IF(ISNUMBER((NºAsuntos!C15+NºAsuntos!E15)/NºAsuntos!G15),(NºAsuntos!C15+NºAsuntos!E15)/NºAsuntos!G15," - ")</f>
        <v>2.3170426065162908</v>
      </c>
      <c r="G15" s="463"/>
    </row>
    <row r="16" spans="1:7">
      <c r="A16" s="402" t="str">
        <f>Datos!A16</f>
        <v xml:space="preserve">Jdos. 1ª Instª. e Instr.                        </v>
      </c>
      <c r="B16" s="442">
        <f>IF(ISNUMBER(NºAsuntos!G16/NºAsuntos!E16),NºAsuntos!G16/NºAsuntos!E16," - ")</f>
        <v>4.166666666666667</v>
      </c>
      <c r="C16" s="443">
        <f>IF(ISNUMBER(NºAsuntos!I16/NºAsuntos!G16),NºAsuntos!I16/NºAsuntos!G16," - ")</f>
        <v>6.08</v>
      </c>
      <c r="D16" s="444">
        <f>IF(ISNUMBER('Resol  Asuntos'!D16/NºAsuntos!G16),'Resol  Asuntos'!D16/NºAsuntos!G16," - ")</f>
        <v>0</v>
      </c>
      <c r="E16" s="445">
        <f>IF(ISNUMBER((NºAsuntos!C16+NºAsuntos!E16)/NºAsuntos!G16),(NºAsuntos!C16+NºAsuntos!E16)/NºAsuntos!G16," - ")</f>
        <v>7.08</v>
      </c>
      <c r="G16" s="463"/>
    </row>
    <row r="17" spans="1:7" ht="13.5" thickBot="1">
      <c r="A17" s="402" t="str">
        <f>Datos!A17</f>
        <v>Jdos. Violencia contra la mujer</v>
      </c>
      <c r="B17" s="442">
        <f>IF(ISNUMBER(NºAsuntos!G17/NºAsuntos!E17),NºAsuntos!G17/NºAsuntos!E17," - ")</f>
        <v>0.70658682634730541</v>
      </c>
      <c r="C17" s="443">
        <f>IF(ISNUMBER(NºAsuntos!I17/NºAsuntos!G17),NºAsuntos!I17/NºAsuntos!G17," - ")</f>
        <v>2.3305084745762712</v>
      </c>
      <c r="D17" s="444">
        <f>IF(ISNUMBER('Resol  Asuntos'!D17/NºAsuntos!G17),'Resol  Asuntos'!D17/NºAsuntos!G17," - ")</f>
        <v>8.4745762711864403E-2</v>
      </c>
      <c r="E17" s="445">
        <f>IF(ISNUMBER((NºAsuntos!C17+NºAsuntos!E17)/NºAsuntos!G17),(NºAsuntos!C17+NºAsuntos!E17)/NºAsuntos!G17," - ")</f>
        <v>3.3305084745762712</v>
      </c>
      <c r="G17" s="463"/>
    </row>
    <row r="18" spans="1:7" ht="14.25" thickTop="1" thickBot="1">
      <c r="A18" s="848" t="str">
        <f>Datos!A18</f>
        <v>TOTAL</v>
      </c>
      <c r="B18" s="858">
        <f>IF(ISNUMBER(NºAsuntos!G18/NºAsuntos!E18),NºAsuntos!G18/NºAsuntos!E18," - ")</f>
        <v>0.9715083798882681</v>
      </c>
      <c r="C18" s="859">
        <f>IF(ISNUMBER(NºAsuntos!I18/NºAsuntos!G18),NºAsuntos!I18/NºAsuntos!G18," - ")</f>
        <v>1.5106382978723405</v>
      </c>
      <c r="D18" s="862">
        <f>IF(ISNUMBER('Resol  Asuntos'!D18/NºAsuntos!G18),'Resol  Asuntos'!D18/NºAsuntos!G18," - ")</f>
        <v>0.12535940195514664</v>
      </c>
      <c r="E18" s="861">
        <f>IF(ISNUMBER((NºAsuntos!C18+NºAsuntos!E18)/NºAsuntos!G18),(NºAsuntos!C18+NºAsuntos!E18)/NºAsuntos!G18," - ")</f>
        <v>2.4542840713053478</v>
      </c>
      <c r="G18" s="463"/>
    </row>
    <row r="19" spans="1:7" ht="15.75" customHeight="1" thickTop="1" thickBot="1">
      <c r="A19" s="793" t="str">
        <f>Datos!A19</f>
        <v>TOTAL JURISDICCIONES</v>
      </c>
      <c r="B19" s="808">
        <f>IF(ISNUMBER(NºAsuntos!G19/NºAsuntos!E19),NºAsuntos!G19/NºAsuntos!E19," - ")</f>
        <v>1.0330938943047716</v>
      </c>
      <c r="C19" s="809">
        <f>IF(ISNUMBER(NºAsuntos!I19/NºAsuntos!G19),NºAsuntos!I19/NºAsuntos!G19," - ")</f>
        <v>1.6669977650856718</v>
      </c>
      <c r="D19" s="810">
        <f>IF(ISNUMBER('Resol  Asuntos'!D19/NºAsuntos!G19),'Resol  Asuntos'!D19/NºAsuntos!G19," - ")</f>
        <v>0.3121430345170102</v>
      </c>
      <c r="E19" s="811">
        <f>IF(ISNUMBER((NºAsuntos!C19+NºAsuntos!E19)/NºAsuntos!G19),(NºAsuntos!C19+NºAsuntos!E19)/NºAsuntos!G19," - ")</f>
        <v>2.6538366029302209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Ib2b6NqQpqOE7fQbDwIMLlc/BisnLghPfl+PQ/yukBK3BfKSxFEnW6xX0I0HI3rWYK+VKKXSqq0QsonvRpEwg==" saltValue="A7kk+nOH5O14f9wO3CcU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PONFERRADA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596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214</v>
      </c>
      <c r="Y9" s="334">
        <f>SUM(W9:X9)</f>
        <v>214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5313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1024</v>
      </c>
      <c r="AJ9" s="229" t="str">
        <f>IF(ISNUMBER(Datos!BW9),Datos!BW9," - ")</f>
        <v xml:space="preserve"> - </v>
      </c>
      <c r="AK9" s="228" t="str">
        <f>IF(ISNUMBER(Datos!BX9),Datos!BX9," - ")</f>
        <v xml:space="preserve"> - </v>
      </c>
      <c r="AL9" s="243">
        <f>IF(ISNUMBER(NºAsuntos!G9/NºAsuntos!E9),NºAsuntos!G9/NºAsuntos!E9," - ")</f>
        <v>1.0744630071599046</v>
      </c>
      <c r="AM9" s="260">
        <f>IF(ISNUMBER(((NºAsuntos!I9/NºAsuntos!G9)*11)/factor_trimestre),((NºAsuntos!I9/NºAsuntos!G9)*11)/factor_trimestre," - ")</f>
        <v>5.3789426921368282</v>
      </c>
      <c r="AN9" s="244">
        <f>IF(ISNUMBER('Resol  Asuntos'!D9/NºAsuntos!G9),'Resol  Asuntos'!D9/NºAsuntos!G9," - ")</f>
        <v>0.45490892936472677</v>
      </c>
      <c r="AO9" s="245">
        <f>IF(ISNUMBER((NºAsuntos!C9+NºAsuntos!E9)/NºAsuntos!G9),(NºAsuntos!C9+NºAsuntos!E9)/NºAsuntos!G9," - ")</f>
        <v>2.8151932474455799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26</v>
      </c>
      <c r="G10" s="333">
        <f>IF(ISNUMBER(Datos!I10),Datos!I10," - ")</f>
        <v>28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20</v>
      </c>
      <c r="X10" s="226">
        <f>IF(ISNUMBER(Datos!Q10),Datos!Q10," - ")</f>
        <v>1</v>
      </c>
      <c r="Y10" s="334">
        <f t="shared" ref="Y10:Y12" si="0">SUM(W10:X10)</f>
        <v>21</v>
      </c>
      <c r="Z10" s="335" t="str">
        <f>IF(ISNUMBER(Datos!CC10),Datos!CC10," - ")</f>
        <v xml:space="preserve"> - </v>
      </c>
      <c r="AA10" s="332">
        <f>IF(ISNUMBER(Datos!L10),Datos!L10,"-")</f>
        <v>18</v>
      </c>
      <c r="AB10" s="334">
        <f>IF(ISNUMBER(Datos!R10),Datos!R10," - ")</f>
        <v>55</v>
      </c>
      <c r="AC10" s="334">
        <f t="shared" ref="AC10:AC12" si="1">IF(ISNUMBER(AA10+AB10),AA10+AB10," - ")</f>
        <v>73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1.6666666666666667</v>
      </c>
      <c r="AM10" s="260">
        <f>IF(ISNUMBER(((NºAsuntos!I10/NºAsuntos!G10)*11)/factor_trimestre),((NºAsuntos!I10/NºAsuntos!G10)*11)/factor_trimestre," - ")</f>
        <v>2.7</v>
      </c>
      <c r="AN10" s="244">
        <f>IF(ISNUMBER('Resol  Asuntos'!D10/NºAsuntos!G10),'Resol  Asuntos'!D10/NºAsuntos!G10," - ")</f>
        <v>0.45</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35</v>
      </c>
      <c r="Y12" s="334">
        <f t="shared" si="0"/>
        <v>35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1814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v>
      </c>
      <c r="AJ12" s="229" t="str">
        <f>IF(ISNUMBER(Datos!BW12),Datos!BW12," - ")</f>
        <v xml:space="preserve"> - </v>
      </c>
      <c r="AK12" s="228" t="str">
        <f>IF(ISNUMBER(Datos!BX12),Datos!BX12," - ")</f>
        <v xml:space="preserve"> - </v>
      </c>
      <c r="AL12" s="243">
        <f>IF(ISNUMBER(NºAsuntos!G12/NºAsuntos!E12),NºAsuntos!G12/NºAsuntos!E12," - ")</f>
        <v>17</v>
      </c>
      <c r="AM12" s="260">
        <f>IF(ISNUMBER(((NºAsuntos!I12/NºAsuntos!G12)*11)/factor_trimestre),((NºAsuntos!I12/NºAsuntos!G12)*11)/factor_trimestre," - ")</f>
        <v>5.6470588235294121</v>
      </c>
      <c r="AN12" s="244">
        <f>IF(ISNUMBER('Resol  Asuntos'!D12/NºAsuntos!G12),'Resol  Asuntos'!D12/NºAsuntos!G12," - ")</f>
        <v>0.35294117647058826</v>
      </c>
      <c r="AO12" s="245">
        <f>IF(ISNUMBER((NºAsuntos!C12+NºAsuntos!E12)/NºAsuntos!G12),(NºAsuntos!C12+NºAsuntos!E12)/NºAsuntos!G12," - ")</f>
        <v>2.4705882352941178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26</v>
      </c>
      <c r="G13" s="866">
        <f t="shared" si="3"/>
        <v>28</v>
      </c>
      <c r="H13" s="865">
        <f t="shared" si="3"/>
        <v>0</v>
      </c>
      <c r="I13" s="867">
        <f t="shared" si="3"/>
        <v>0</v>
      </c>
      <c r="J13" s="867">
        <f t="shared" si="3"/>
        <v>0</v>
      </c>
      <c r="K13" s="867">
        <f t="shared" si="3"/>
        <v>0</v>
      </c>
      <c r="L13" s="867">
        <f t="shared" si="3"/>
        <v>604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20</v>
      </c>
      <c r="X13" s="867">
        <f t="shared" si="4"/>
        <v>250</v>
      </c>
      <c r="Y13" s="868">
        <f t="shared" si="4"/>
        <v>270</v>
      </c>
      <c r="Z13" s="868">
        <f t="shared" si="4"/>
        <v>0</v>
      </c>
      <c r="AA13" s="868">
        <f t="shared" si="4"/>
        <v>18</v>
      </c>
      <c r="AB13" s="868">
        <f t="shared" si="4"/>
        <v>7182</v>
      </c>
      <c r="AC13" s="868">
        <f t="shared" si="4"/>
        <v>73</v>
      </c>
      <c r="AD13" s="868">
        <f t="shared" si="4"/>
        <v>0</v>
      </c>
      <c r="AE13" s="872">
        <f t="shared" si="4"/>
        <v>0</v>
      </c>
      <c r="AF13" s="865">
        <f t="shared" si="4"/>
        <v>0</v>
      </c>
      <c r="AG13" s="873">
        <f t="shared" si="4"/>
        <v>0</v>
      </c>
      <c r="AH13" s="870">
        <f t="shared" si="4"/>
        <v>0</v>
      </c>
      <c r="AI13" s="865">
        <f t="shared" si="4"/>
        <v>1039</v>
      </c>
      <c r="AJ13" s="867">
        <f t="shared" si="4"/>
        <v>0</v>
      </c>
      <c r="AK13" s="870">
        <f>SUBTOTAL(9,AK9:AK12)</f>
        <v>0</v>
      </c>
      <c r="AL13" s="874">
        <f>IF(ISNUMBER(NºAsuntos!G13/NºAsuntos!E13),NºAsuntos!G13/NºAsuntos!E13," - ")</f>
        <v>1.0853889943074004</v>
      </c>
      <c r="AM13" s="874">
        <f>IF(ISNUMBER(((NºAsuntos!I13/NºAsuntos!G13)*11)/factor_trimestre),((NºAsuntos!I13/NºAsuntos!G13)*11)/factor_trimestre," - ")</f>
        <v>5.3575174825174834</v>
      </c>
      <c r="AN13" s="875">
        <f>IF(ISNUMBER('Resol  Asuntos'!D13/NºAsuntos!G13),'Resol  Asuntos'!D13/NºAsuntos!G13," - ")</f>
        <v>0.45410839160839161</v>
      </c>
      <c r="AO13" s="876">
        <f>IF(ISNUMBER((NºAsuntos!C13+NºAsuntos!E13)/NºAsuntos!G13),(NºAsuntos!C13+NºAsuntos!E13)/NºAsuntos!G13," - ")</f>
        <v>2.8055069930069929</v>
      </c>
      <c r="AP13" s="877" t="str">
        <f t="shared" si="2"/>
        <v xml:space="preserve"> - </v>
      </c>
      <c r="AQ13" s="877">
        <f>IF(ISNUMBER((H13-W13+K13)/(F13)),(H13-W13+K13)/(F13)," - ")</f>
        <v>-0.76923076923076927</v>
      </c>
      <c r="AR13" s="878">
        <f>IF(ISNUMBER((Datos!P13-Datos!Q13)/(Datos!R13-Datos!P13+Datos!Q13)),(Datos!P13-Datos!Q13)/(Datos!R13-Datos!P13+Datos!Q13)," - ")</f>
        <v>5.1845342706502637E-2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2179</v>
      </c>
      <c r="G15" s="333">
        <f>IF(ISNUMBER(IF(D_I="SI",Datos!I15,Datos!I15+Datos!AC15)),IF(D_I="SI",Datos!I15,Datos!I15+Datos!AC15)," - ")</f>
        <v>2081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1596</v>
      </c>
      <c r="X15" s="226">
        <f>IF(ISNUMBER(Datos!Q15),Datos!Q15," - ")</f>
        <v>62</v>
      </c>
      <c r="Y15" s="334">
        <f>SUM(W15)</f>
        <v>1596</v>
      </c>
      <c r="Z15" s="335" t="str">
        <f>IF(ISNUMBER(Datos!CC15),Datos!CC15," - ")</f>
        <v xml:space="preserve"> - </v>
      </c>
      <c r="AA15" s="332">
        <f>IF(ISNUMBER(IF(D_I="SI",Datos!L15,Datos!L15+Datos!AF15)),IF(D_I="SI",Datos!L15,Datos!L15+Datos!AF15)," - ")</f>
        <v>2200</v>
      </c>
      <c r="AB15" s="334">
        <f>IF(ISNUMBER(Datos!R15),Datos!R15," - ")</f>
        <v>253</v>
      </c>
      <c r="AC15" s="334">
        <f t="shared" ref="AC15:AC17" si="6">IF(ISNUMBER(AA15+AB15),AA15+AB15," - ")</f>
        <v>2453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208</v>
      </c>
      <c r="AJ15" s="231" t="str">
        <f>IF(ISNUMBER(Datos!BW15),Datos!BW15," - ")</f>
        <v xml:space="preserve"> - </v>
      </c>
      <c r="AK15" s="232" t="str">
        <f>IF(ISNUMBER(Datos!BX15),Datos!BX15," - ")</f>
        <v xml:space="preserve"> - </v>
      </c>
      <c r="AL15" s="243">
        <f>IF(ISNUMBER(NºAsuntos!G15/NºAsuntos!E15),NºAsuntos!G15/NºAsuntos!E15," - ")</f>
        <v>0.98701298701298701</v>
      </c>
      <c r="AM15" s="260">
        <f>IF(ISNUMBER(((NºAsuntos!I15/NºAsuntos!G15)*11)/factor_trimestre),((NºAsuntos!I15/NºAsuntos!G15)*11)/factor_trimestre," - ")</f>
        <v>4.1353383458646622</v>
      </c>
      <c r="AN15" s="244">
        <f>IF(ISNUMBER('Resol  Asuntos'!D15/NºAsuntos!G15),'Resol  Asuntos'!D15/NºAsuntos!G15," - ")</f>
        <v>0.13032581453634084</v>
      </c>
      <c r="AO15" s="245">
        <f>IF(ISNUMBER((NºAsuntos!C15+NºAsuntos!E15)/NºAsuntos!G15),(NºAsuntos!C15+NºAsuntos!E15)/NºAsuntos!G15," - ")</f>
        <v>2.3170426065162908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171</v>
      </c>
      <c r="G16" s="333">
        <f>IF(ISNUMBER(IF(D_I="SI",Datos!I16,Datos!I16+Datos!AC16)),IF(D_I="SI",Datos!I16,Datos!I16+Datos!AC16)," - ")</f>
        <v>171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v>
      </c>
      <c r="X16" s="226">
        <f>IF(ISNUMBER(Datos!Q16),Datos!Q16," - ")</f>
        <v>0</v>
      </c>
      <c r="Y16" s="334">
        <f t="shared" ref="Y16:Y17" si="7">SUM(W16:X16)</f>
        <v>25</v>
      </c>
      <c r="Z16" s="335" t="str">
        <f>IF(ISNUMBER(Datos!CC16),Datos!CC16," - ")</f>
        <v xml:space="preserve"> - </v>
      </c>
      <c r="AA16" s="332">
        <f>IF(ISNUMBER(IF(D_I="SI",Datos!L16,Datos!L16+Datos!AF16)),IF(D_I="SI",Datos!L16,Datos!L16+Datos!AF16)," - ")</f>
        <v>152</v>
      </c>
      <c r="AB16" s="334">
        <f>IF(ISNUMBER(Datos!R16),Datos!R16," - ")</f>
        <v>0</v>
      </c>
      <c r="AC16" s="334">
        <f t="shared" si="6"/>
        <v>152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f>IF(ISNUMBER(NºAsuntos!G16/NºAsuntos!E16),NºAsuntos!G16/NºAsuntos!E16," - ")</f>
        <v>4.166666666666667</v>
      </c>
      <c r="AM16" s="260">
        <f>IF(ISNUMBER(((NºAsuntos!I16/NºAsuntos!G16)*11)/factor_trimestre),((NºAsuntos!I16/NºAsuntos!G16)*11)/factor_trimestre," - ")</f>
        <v>18.239999999999998</v>
      </c>
      <c r="AN16" s="244">
        <f>IF(ISNUMBER('Resol  Asuntos'!D16/NºAsuntos!G16),'Resol  Asuntos'!D16/NºAsuntos!G16," - ")</f>
        <v>0</v>
      </c>
      <c r="AO16" s="245">
        <f>IF(ISNUMBER((NºAsuntos!C16+NºAsuntos!E16)/NºAsuntos!G16),(NºAsuntos!C16+NºAsuntos!E16)/NºAsuntos!G16," - ")</f>
        <v>7.08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118</v>
      </c>
      <c r="X17" s="226">
        <f>IF(ISNUMBER(Datos!Q17),Datos!Q17," - ")</f>
        <v>1</v>
      </c>
      <c r="Y17" s="334">
        <f t="shared" si="7"/>
        <v>119</v>
      </c>
      <c r="Z17" s="335" t="str">
        <f>IF(ISNUMBER(Datos!CC17),Datos!CC17," - ")</f>
        <v xml:space="preserve"> - </v>
      </c>
      <c r="AA17" s="332">
        <f>IF(ISNUMBER(Datos!L17),Datos!L17,"-")</f>
        <v>275</v>
      </c>
      <c r="AB17" s="334">
        <f>IF(ISNUMBER(Datos!R17),Datos!R17," - ")</f>
        <v>5</v>
      </c>
      <c r="AC17" s="334">
        <f t="shared" si="6"/>
        <v>280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0.70658682634730541</v>
      </c>
      <c r="AM17" s="260">
        <f>IF(ISNUMBER(((NºAsuntos!I17/NºAsuntos!G17)*11)/factor_trimestre),((NºAsuntos!I17/NºAsuntos!G17)*11)/factor_trimestre," - ")</f>
        <v>6.991525423728814</v>
      </c>
      <c r="AN17" s="244">
        <f>IF(ISNUMBER('Resol  Asuntos'!D17/NºAsuntos!G17),'Resol  Asuntos'!D17/NºAsuntos!G17," - ")</f>
        <v>8.4745762711864403E-2</v>
      </c>
      <c r="AO17" s="245">
        <f>IF(ISNUMBER((NºAsuntos!C17+NºAsuntos!E17)/NºAsuntos!G17),(NºAsuntos!C17+NºAsuntos!E17)/NºAsuntos!G17," - ")</f>
        <v>3.3305084745762712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2350</v>
      </c>
      <c r="G18" s="866">
        <f>SUBTOTAL(9,G15:G17)</f>
        <v>2478</v>
      </c>
      <c r="H18" s="865">
        <f t="shared" ref="H18:O18" si="10">SUBTOTAL(9,H14:H17)</f>
        <v>0</v>
      </c>
      <c r="I18" s="867">
        <f t="shared" si="10"/>
        <v>0</v>
      </c>
      <c r="J18" s="867">
        <f t="shared" si="10"/>
        <v>0</v>
      </c>
      <c r="K18" s="867">
        <f t="shared" si="10"/>
        <v>0</v>
      </c>
      <c r="L18" s="867">
        <f t="shared" si="10"/>
        <v>71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1739</v>
      </c>
      <c r="X18" s="867">
        <f t="shared" si="11"/>
        <v>63</v>
      </c>
      <c r="Y18" s="868">
        <f t="shared" si="11"/>
        <v>1740</v>
      </c>
      <c r="Z18" s="868">
        <f t="shared" si="11"/>
        <v>0</v>
      </c>
      <c r="AA18" s="868">
        <f t="shared" si="11"/>
        <v>2627</v>
      </c>
      <c r="AB18" s="868">
        <f t="shared" si="11"/>
        <v>258</v>
      </c>
      <c r="AC18" s="868">
        <f t="shared" si="11"/>
        <v>2885</v>
      </c>
      <c r="AD18" s="868">
        <f t="shared" si="11"/>
        <v>0</v>
      </c>
      <c r="AE18" s="872">
        <f t="shared" si="11"/>
        <v>0</v>
      </c>
      <c r="AF18" s="865">
        <f t="shared" si="11"/>
        <v>0</v>
      </c>
      <c r="AG18" s="873">
        <f t="shared" si="11"/>
        <v>0</v>
      </c>
      <c r="AH18" s="870">
        <f t="shared" si="11"/>
        <v>0</v>
      </c>
      <c r="AI18" s="865">
        <f t="shared" si="11"/>
        <v>218</v>
      </c>
      <c r="AJ18" s="867">
        <f t="shared" si="11"/>
        <v>0</v>
      </c>
      <c r="AK18" s="870">
        <f t="shared" si="11"/>
        <v>0</v>
      </c>
      <c r="AL18" s="874">
        <f>IF(ISNUMBER(NºAsuntos!G18/NºAsuntos!E18),NºAsuntos!G18/NºAsuntos!E18," - ")</f>
        <v>0.9715083798882681</v>
      </c>
      <c r="AM18" s="874">
        <f>IF(ISNUMBER(((NºAsuntos!I18/NºAsuntos!G18)*11)/factor_trimestre),((NºAsuntos!I18/NºAsuntos!G18)*11)/factor_trimestre," - ")</f>
        <v>4.5319148936170217</v>
      </c>
      <c r="AN18" s="875">
        <f>IF(ISNUMBER('Resol  Asuntos'!D18/NºAsuntos!G18),'Resol  Asuntos'!D18/NºAsuntos!G18," - ")</f>
        <v>0.12535940195514664</v>
      </c>
      <c r="AO18" s="876">
        <f>IF(ISNUMBER((NºAsuntos!C18+NºAsuntos!E18)/NºAsuntos!G18),(NºAsuntos!C18+NºAsuntos!E18)/NºAsuntos!G18," - ")</f>
        <v>2.4542840713053478</v>
      </c>
      <c r="AP18" s="877" t="str">
        <f t="shared" si="2"/>
        <v xml:space="preserve"> - </v>
      </c>
      <c r="AQ18" s="877">
        <f>IF(ISNUMBER((H18-W18+K18)/(F18)),(H18-W18+K18)/(F18)," - ")</f>
        <v>-0.74</v>
      </c>
      <c r="AR18" s="878">
        <f>IF(ISNUMBER((Datos!P18-Datos!Q18)/(Datos!R18-Datos!P18+Datos!Q18)),(Datos!P18-Datos!Q18)/(Datos!R18-Datos!P18+Datos!Q18)," - ")</f>
        <v>3.2000000000000001E-2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2376</v>
      </c>
      <c r="G19" s="821">
        <f t="shared" si="13"/>
        <v>2506</v>
      </c>
      <c r="H19" s="820">
        <f t="shared" si="13"/>
        <v>0</v>
      </c>
      <c r="I19" s="822">
        <f t="shared" si="13"/>
        <v>0</v>
      </c>
      <c r="J19" s="822">
        <f t="shared" si="13"/>
        <v>0</v>
      </c>
      <c r="K19" s="881">
        <f t="shared" si="13"/>
        <v>0</v>
      </c>
      <c r="L19" s="822">
        <f t="shared" si="13"/>
        <v>675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1759</v>
      </c>
      <c r="X19" s="821">
        <f t="shared" si="14"/>
        <v>313</v>
      </c>
      <c r="Y19" s="828">
        <f t="shared" si="14"/>
        <v>2010</v>
      </c>
      <c r="Z19" s="828">
        <f t="shared" si="14"/>
        <v>0</v>
      </c>
      <c r="AA19" s="828">
        <f t="shared" si="14"/>
        <v>2645</v>
      </c>
      <c r="AB19" s="828">
        <f t="shared" si="14"/>
        <v>7440</v>
      </c>
      <c r="AC19" s="828">
        <f t="shared" si="14"/>
        <v>2958</v>
      </c>
      <c r="AD19" s="828">
        <f t="shared" si="14"/>
        <v>0</v>
      </c>
      <c r="AE19" s="830">
        <f t="shared" si="14"/>
        <v>0</v>
      </c>
      <c r="AF19" s="831">
        <f t="shared" si="14"/>
        <v>0</v>
      </c>
      <c r="AG19" s="832">
        <f t="shared" si="14"/>
        <v>0</v>
      </c>
      <c r="AH19" s="830">
        <f t="shared" si="14"/>
        <v>0</v>
      </c>
      <c r="AI19" s="820">
        <f t="shared" si="14"/>
        <v>1257</v>
      </c>
      <c r="AJ19" s="820">
        <f t="shared" si="14"/>
        <v>0</v>
      </c>
      <c r="AK19" s="830">
        <f t="shared" si="14"/>
        <v>0</v>
      </c>
      <c r="AL19" s="884">
        <f>IF(ISNUMBER(NºAsuntos!G19/NºAsuntos!E19),NºAsuntos!G19/NºAsuntos!E19," - ")</f>
        <v>1.0330938943047716</v>
      </c>
      <c r="AM19" s="885">
        <f>IF(ISNUMBER(((NºAsuntos!I19/NºAsuntos!G19)*11)/factor_trimestre),((NºAsuntos!I19/NºAsuntos!G19)*11)/factor_trimestre," - ")</f>
        <v>5.0009932952570155</v>
      </c>
      <c r="AN19" s="885">
        <f>IF(ISNUMBER('Resol  Asuntos'!D19/NºAsuntos!G19),'Resol  Asuntos'!D19/NºAsuntos!G19," - ")</f>
        <v>0.3121430345170102</v>
      </c>
      <c r="AO19" s="886">
        <f>IF(ISNUMBER((NºAsuntos!C19+NºAsuntos!E19)/NºAsuntos!G19),(NºAsuntos!C19+NºAsuntos!E19)/NºAsuntos!G19," - ")</f>
        <v>2.6538366029302209</v>
      </c>
      <c r="AP19" s="887" t="str">
        <f t="shared" si="2"/>
        <v xml:space="preserve"> - </v>
      </c>
      <c r="AQ19" s="888">
        <f>IF(OR(ISNUMBER(FIND("01",Criterios!A8,1)),ISNUMBER(FIND("02",Criterios!A8,1)),ISNUMBER(FIND("03",Criterios!A8,1)),ISNUMBER(FIND("04",Criterios!A8,1))),(I19-W19+K19)/(F19-K19),(H19-W19+K19)/(F19-K19))</f>
        <v>-0.74031986531986527</v>
      </c>
      <c r="AR19" s="889">
        <f>IF(ISNUMBER((Datos!P19-Datos!Q19)/(Datos!R19-Datos!P19+Datos!Q19)),(Datos!P19-Datos!Q19)/(Datos!R19-Datos!P19+Datos!Q19)," - ")</f>
        <v>5.1144391070923993E-2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835.33333333333337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1202.5840095394583</v>
      </c>
      <c r="G21" s="253">
        <f>IF(ISNUMBER(STDEV(G8:G18)),STDEV(G8:G18),"-")</f>
        <v>1128.3828546493723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839.51954513678038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451.83396128603323</v>
      </c>
      <c r="AJ21" s="252">
        <f t="shared" si="18"/>
        <v>0</v>
      </c>
      <c r="AK21" s="254">
        <f t="shared" si="18"/>
        <v>0</v>
      </c>
      <c r="AL21" s="249">
        <f t="shared" si="18"/>
        <v>5.5839830499261076</v>
      </c>
      <c r="AM21" s="250">
        <f t="shared" si="18"/>
        <v>4.8571466024010803</v>
      </c>
      <c r="AN21" s="250">
        <f t="shared" si="18"/>
        <v>0.19032598381372845</v>
      </c>
      <c r="AO21" s="251">
        <f t="shared" si="18"/>
        <v>1.6331181804192973</v>
      </c>
      <c r="AP21" s="291" t="str">
        <f t="shared" si="18"/>
        <v>-</v>
      </c>
      <c r="AQ21" s="292">
        <f t="shared" si="18"/>
        <v>2.0669275142376042E-2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4yocZSySU0HK18W36tzme25FNtFG3Cj9zt1GjJcILsQir+ymDkcy036U92j/w14WPoCVDUIqVC+v7XZn54bbbA==" saltValue="PNeggS4qjihuEWxLNmLNA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PONFERRADA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0.71812080536912748</v>
      </c>
      <c r="I9" s="350">
        <f>IF(ISNUMBER((Tasas!C9-Datos!BE9)/Datos!BE9),(Tasas!C9-Datos!BE9)/Datos!BE9," - ")</f>
        <v>5.7345857136787685E-2</v>
      </c>
      <c r="J9" s="349">
        <f>IF(ISNUMBER((Tasas!D9-Datos!BF9)/Datos!BF9),(Tasas!D9-Datos!BF9)/Datos!BF9," - ")</f>
        <v>0.56571521894335131</v>
      </c>
      <c r="K9" s="351">
        <f>IF(ISNUMBER((Tasas!E9-Datos!BG9)/Datos!BG9),(Tasas!E9-Datos!BG9)/Datos!BG9," - ")</f>
        <v>3.6775427289142577E-2</v>
      </c>
      <c r="M9" t="e">
        <f>IF(Monitorios="SI",Datos!CE9,0)</f>
        <v>#REF!</v>
      </c>
      <c r="N9" t="e">
        <f>IF(Monitorios="SI",Datos!CF9,0)</f>
        <v>#REF!</v>
      </c>
      <c r="O9" t="e">
        <f>IF(Monitorios="SI",Datos!CG9,0)</f>
        <v>#REF!</v>
      </c>
      <c r="P9" t="e">
        <f>IF(Monitorios="SI",Datos!CH9,0)</f>
        <v>#REF!</v>
      </c>
      <c r="Q9">
        <f>IF(J_V="SI",0,Datos!AG9)</f>
        <v>69</v>
      </c>
      <c r="R9">
        <f>IF(J_V="SI",0,Datos!AH9)</f>
        <v>101</v>
      </c>
      <c r="S9">
        <f>IF(J_V="SI",0,Datos!AI9)</f>
        <v>120</v>
      </c>
      <c r="T9">
        <f>IF(J_V="SI",0,Datos!AJ9)</f>
        <v>53</v>
      </c>
    </row>
    <row r="10" spans="2:20" ht="14.25">
      <c r="B10" s="275" t="s">
        <v>246</v>
      </c>
      <c r="C10" s="7" t="str">
        <f>Datos!A10</f>
        <v>Jdos. Violencia contra la mujer</v>
      </c>
      <c r="D10" s="352">
        <f>IF(ISNUMBER((Datos!I10-Datos!S10)/Datos!S10),(Datos!I10-Datos!S10)/Datos!S10," - ")</f>
        <v>0.4</v>
      </c>
      <c r="E10" s="348">
        <f>IF(ISNUMBER((Datos!J10-Datos!T10)/Datos!T10),(Datos!J10-Datos!T10)/Datos!T10," - ")</f>
        <v>-0.29411764705882354</v>
      </c>
      <c r="F10" s="348">
        <f>IF(ISNUMBER((Datos!K10-Datos!U10)/Datos!U10),(Datos!K10-Datos!U10)/Datos!U10," - ")</f>
        <v>0.53846153846153844</v>
      </c>
      <c r="G10" s="349">
        <f>IF(ISNUMBER((Datos!L10-Datos!V10)/Datos!V10),(Datos!L10-Datos!V10)/Datos!V10," - ")</f>
        <v>-0.25</v>
      </c>
      <c r="H10" s="230">
        <f>IF(ISNUMBER((Datos!M10-Datos!W10)/Datos!W10),(Datos!M10-Datos!W10)/Datos!W10," - ")</f>
        <v>0.5</v>
      </c>
      <c r="I10" s="350">
        <f>IF(ISNUMBER((Tasas!C10-Datos!BE10)/Datos!BE10),(Tasas!C10-Datos!BE10)/Datos!BE10," - ")</f>
        <v>-0.51250000000000007</v>
      </c>
      <c r="J10" s="349">
        <f>IF(ISNUMBER((Tasas!D10-Datos!BF10)/Datos!BF10),(Tasas!D10-Datos!BF10)/Datos!BF10," - ")</f>
        <v>-2.5000000000000029E-2</v>
      </c>
      <c r="K10" s="351">
        <f>IF(ISNUMBER((Tasas!E10-Datos!BG10)/Datos!BG10),(Tasas!E10-Datos!BG10)/Datos!BG10," - ")</f>
        <v>-0.29729729729729731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-0.85</v>
      </c>
      <c r="I12" s="350">
        <f>IF(ISNUMBER((Tasas!C12-Datos!BE12)/Datos!BE12),(Tasas!C12-Datos!BE12)/Datos!BE12," - ")</f>
        <v>1.293441514536849</v>
      </c>
      <c r="J12" s="349">
        <f>IF(ISNUMBER((Tasas!D12-Datos!BF12)/Datos!BF12),(Tasas!D12-Datos!BF12)/Datos!BF12," - ")</f>
        <v>0.62659846547314579</v>
      </c>
      <c r="K12" s="351">
        <f>IF(ISNUMBER((Tasas!E12-Datos!BG12)/Datos!BG12),(Tasas!E12-Datos!BG12)/Datos!BG12," - ")</f>
        <v>0.44686382840429001</v>
      </c>
      <c r="M12" t="e">
        <f>IF(Monitorios="SI",Datos!CE12,0)</f>
        <v>#REF!</v>
      </c>
      <c r="N12" t="e">
        <f>IF(Monitorios="SI",Datos!CF12,0)</f>
        <v>#REF!</v>
      </c>
      <c r="O12" t="e">
        <f>IF(Monitorios="SI",Datos!CG12,0)</f>
        <v>#REF!</v>
      </c>
      <c r="P12" t="e">
        <f>IF(Monitorios="SI",Datos!CH12,0)</f>
        <v>#REF!</v>
      </c>
      <c r="Q12">
        <f>IF(J_V="SI",0,Datos!AG12)</f>
        <v>1</v>
      </c>
      <c r="R12">
        <f>IF(J_V="SI",0,Datos!AH12)</f>
        <v>3</v>
      </c>
      <c r="S12">
        <f>IF(J_V="SI",0,Datos!AI12)</f>
        <v>4</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0.61838006230529596</v>
      </c>
      <c r="I13" s="357">
        <f>IF(ISNUMBER((Tasas!C13-Datos!BE13)/Datos!BE13),(Tasas!C13-Datos!BE13)/Datos!BE13," - ")</f>
        <v>7.9902740037118544E-2</v>
      </c>
      <c r="J13" s="355">
        <f>IF(ISNUMBER((Tasas!D13-Datos!BF13)/Datos!BF13),(Tasas!D13-Datos!BF13)/Datos!BF13," - ")</f>
        <v>0.57696804802914126</v>
      </c>
      <c r="K13" s="358">
        <f>IF(ISNUMBER((Tasas!E13-Datos!BG13)/Datos!BG13),(Tasas!E13-Datos!BG13)/Datos!BG13," - ")</f>
        <v>5.2065122377622397E-2</v>
      </c>
      <c r="M13" t="e">
        <f>IF(Monitorios="SI",Datos!CE13,0)</f>
        <v>#REF!</v>
      </c>
      <c r="N13" t="e">
        <f>IF(Monitorios="SI",Datos!CF13,0)</f>
        <v>#REF!</v>
      </c>
      <c r="O13" t="e">
        <f>IF(Monitorios="SI",Datos!CG13,0)</f>
        <v>#REF!</v>
      </c>
      <c r="P13" t="e">
        <f>IF(Monitorios="SI",Datos!CH13,0)</f>
        <v>#REF!</v>
      </c>
      <c r="Q13">
        <f>IF(J_V="SI",0,Datos!AG13)</f>
        <v>70</v>
      </c>
      <c r="R13">
        <f>IF(J_V="SI",0,Datos!AH13)</f>
        <v>104</v>
      </c>
      <c r="S13">
        <f>IF(J_V="SI",0,Datos!AI13)</f>
        <v>124</v>
      </c>
      <c r="T13">
        <f>IF(J_V="SI",0,Datos!AJ13)</f>
        <v>53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0.24313022700119474</v>
      </c>
      <c r="E15" s="348">
        <f>IF(ISNUMBER(
   IF(D_I="SI",(Datos!J15-Datos!T15)/Datos!T15,(Datos!J15+Datos!AD15-(Datos!T15+Datos!AL15))/(Datos!T15+Datos!AL15))
     ),IF(D_I="SI",(Datos!J15-Datos!T15)/Datos!T15,(Datos!J15+Datos!AD15-(Datos!T15+Datos!AL15))/(Datos!T15+Datos!AL15))," - ")</f>
        <v>0.14114326040931546</v>
      </c>
      <c r="F15" s="348">
        <f>IF(ISNUMBER(
   IF(D_I="SI",(Datos!K15-Datos!U15)/Datos!U15,(Datos!K15+Datos!AE15-(Datos!U15+Datos!AM15))/(Datos!U15+Datos!AM15))
     ),IF(D_I="SI",(Datos!K15-Datos!U15)/Datos!U15,(Datos!K15+Datos!AE15-(Datos!U15+Datos!AM15))/(Datos!U15+Datos!AM15))," - ")</f>
        <v>0.34343434343434343</v>
      </c>
      <c r="G15" s="349">
        <f>IF(ISNUMBER(
   IF(D_I="SI",(Datos!L15-Datos!V15)/Datos!V15,(Datos!L15+Datos!AF15-(Datos!V15+Datos!AN15))/(Datos!V15+Datos!AN15))
     ),IF(D_I="SI",(Datos!L15-Datos!V15)/Datos!V15,(Datos!L15+Datos!AF15-(Datos!V15+Datos!AN15))/(Datos!V15+Datos!AN15))," - ")</f>
        <v>0.18854673149648837</v>
      </c>
      <c r="H15" s="230">
        <f>IF(ISNUMBER((Datos!M15-Datos!W15)/Datos!W15),(Datos!M15-Datos!W15)/Datos!W15," - ")</f>
        <v>0.36842105263157893</v>
      </c>
      <c r="I15" s="350">
        <f>IF(ISNUMBER((Tasas!C15-Datos!BE15)/Datos!BE15),(Tasas!C15-Datos!BE15)/Datos!BE15," - ")</f>
        <v>-0.11529228257028311</v>
      </c>
      <c r="J15" s="349">
        <f>IF(ISNUMBER((Tasas!D15-Datos!BF15)/Datos!BF15),(Tasas!D15-Datos!BF15)/Datos!BF15," - ")</f>
        <v>1.8599129402453441E-2</v>
      </c>
      <c r="K15" s="351">
        <f>IF(ISNUMBER((Tasas!E15-Datos!BG15)/Datos!BG15),(Tasas!E15-Datos!BG15)/Datos!BG15," - ")</f>
        <v>-0.10946405158804474</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-0.54032258064516125</v>
      </c>
      <c r="E16" s="348">
        <f>IF(ISNUMBER(
   IF(D_I="SI",(Datos!J16-Datos!T16)/Datos!T16,(Datos!J16+Datos!AD16-(Datos!T16+Datos!AL16))/(Datos!T16+Datos!AL16))
     ),IF(D_I="SI",(Datos!J16-Datos!T16)/Datos!T16,(Datos!J16+Datos!AD16-(Datos!T16+Datos!AL16))/(Datos!T16+Datos!AL16))," - ")</f>
        <v>-0.83333333333333337</v>
      </c>
      <c r="F16" s="348">
        <f>IF(ISNUMBER(
   IF(D_I="SI",(Datos!K16-Datos!U16)/Datos!U16,(Datos!K16+Datos!AE16-(Datos!U16+Datos!AM16))/(Datos!U16+Datos!AM16))
     ),IF(D_I="SI",(Datos!K16-Datos!U16)/Datos!U16,(Datos!K16+Datos!AE16-(Datos!U16+Datos!AM16))/(Datos!U16+Datos!AM16))," - ")</f>
        <v>-0.81343283582089554</v>
      </c>
      <c r="G16" s="349">
        <f>IF(ISNUMBER(
   IF(D_I="SI",(Datos!L16-Datos!V16)/Datos!V16,(Datos!L16+Datos!AF16-(Datos!V16+Datos!AN16))/(Datos!V16+Datos!AN16))
     ),IF(D_I="SI",(Datos!L16-Datos!V16)/Datos!V16,(Datos!L16+Datos!AF16-(Datos!V16+Datos!AN16))/(Datos!V16+Datos!AN16))," - ")</f>
        <v>-0.46853146853146854</v>
      </c>
      <c r="H16" s="230">
        <f>IF(ISNUMBER((Datos!M16-Datos!W16)/Datos!W16),(Datos!M16-Datos!W16)/Datos!W16," - ")</f>
        <v>-1</v>
      </c>
      <c r="I16" s="350">
        <f>IF(ISNUMBER((Tasas!C16-Datos!BE16)/Datos!BE16),(Tasas!C16-Datos!BE16)/Datos!BE16," - ")</f>
        <v>1.8486713286713286</v>
      </c>
      <c r="J16" s="349">
        <f>IF(ISNUMBER((Tasas!D16-Datos!BF16)/Datos!BF16),(Tasas!D16-Datos!BF16)/Datos!BF16," - ")</f>
        <v>-1</v>
      </c>
      <c r="K16" s="351">
        <f>IF(ISNUMBER((Tasas!E16-Datos!BG16)/Datos!BG16),(Tasas!E16-Datos!BG16)/Datos!BG16," - ")</f>
        <v>1.325294117647059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0.16494845360824742</v>
      </c>
      <c r="E17" s="348">
        <f>IF(ISNUMBER(
   IF(D_I="SI",(Datos!J17-Datos!T17)/Datos!T17,(Datos!J17+Datos!AD17-(Datos!T17+Datos!AL17))/(Datos!T17+Datos!AL17))
     ),IF(D_I="SI",(Datos!J17-Datos!T17)/Datos!T17,(Datos!J17+Datos!AD17-(Datos!T17+Datos!AL17))/(Datos!T17+Datos!AL17))," - ")</f>
        <v>0.3046875</v>
      </c>
      <c r="F17" s="348">
        <f>IF(ISNUMBER(
   IF(D_I="SI",(Datos!K17-Datos!U17)/Datos!U17,(Datos!K17+Datos!AE17-(Datos!U17+Datos!AM17))/(Datos!U17+Datos!AM17))
     ),IF(D_I="SI",(Datos!K17-Datos!U17)/Datos!U17,(Datos!K17+Datos!AE17-(Datos!U17+Datos!AM17))/(Datos!U17+Datos!AM17))," - ")</f>
        <v>0.34090909090909088</v>
      </c>
      <c r="G17" s="349">
        <f>IF(ISNUMBER(
   IF(D_I="SI",(Datos!L17-Datos!V17)/Datos!V17,(Datos!L17+Datos!AF17-(Datos!V17+Datos!AN17))/(Datos!V17+Datos!AN17))
     ),IF(D_I="SI",(Datos!L17-Datos!V17)/Datos!V17,(Datos!L17+Datos!AF17-(Datos!V17+Datos!AN17))/(Datos!V17+Datos!AN17))," - ")</f>
        <v>0.29107981220657275</v>
      </c>
      <c r="H17" s="230">
        <f>IF(ISNUMBER((Datos!M17-Datos!W17)/Datos!W17),(Datos!M17-Datos!W17)/Datos!W17," - ")</f>
        <v>-0.2857142857142857</v>
      </c>
      <c r="I17" s="350">
        <f>IF(ISNUMBER((Tasas!C17-Datos!BE17)/Datos!BE17),(Tasas!C17-Datos!BE17)/Datos!BE17," - ")</f>
        <v>-3.716081801543724E-2</v>
      </c>
      <c r="J17" s="349">
        <f>IF(ISNUMBER((Tasas!D17-Datos!BF17)/Datos!BF17),(Tasas!D17-Datos!BF17)/Datos!BF17," - ")</f>
        <v>-0.46731234866828086</v>
      </c>
      <c r="K17" s="351">
        <f>IF(ISNUMBER((Tasas!E17-Datos!BG17)/Datos!BG17),(Tasas!E17-Datos!BG17)/Datos!BG17," - ")</f>
        <v>-8.97989262027582E-2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0.10625</v>
      </c>
      <c r="E18" s="354">
        <f>IF(ISNUMBER(
   IF(D_I="SI",(Datos!J18-Datos!T18)/Datos!T18,(Datos!J18+Datos!AD18-(Datos!T18+Datos!AL18))/(Datos!T18+Datos!AL18))
     ),IF(D_I="SI",(Datos!J18-Datos!T18)/Datos!T18,(Datos!J18+Datos!AD18-(Datos!T18+Datos!AL18))/(Datos!T18+Datos!AL18))," - ")</f>
        <v>0.13219481340923467</v>
      </c>
      <c r="F18" s="354">
        <f>IF(ISNUMBER(
   IF(D_I="SI",(Datos!K18-Datos!U18)/Datos!U18,(Datos!K18+Datos!AE18-(Datos!U18+Datos!AM18))/(Datos!U18+Datos!AM18))
     ),IF(D_I="SI",(Datos!K18-Datos!U18)/Datos!U18,(Datos!K18+Datos!AE18-(Datos!U18+Datos!AM18))/(Datos!U18+Datos!AM18))," - ")</f>
        <v>0.23333333333333334</v>
      </c>
      <c r="G18" s="355">
        <f>IF(ISNUMBER(
   IF(D_I="SI",(Datos!L18-Datos!V18)/Datos!V18,(Datos!L18+Datos!AF18-(Datos!V18+Datos!AN18))/(Datos!V18+Datos!AN18))
     ),IF(D_I="SI",(Datos!L18-Datos!V18)/Datos!V18,(Datos!L18+Datos!AF18-(Datos!V18+Datos!AN18))/(Datos!V18+Datos!AN18))," - ")</f>
        <v>0.11787234042553192</v>
      </c>
      <c r="H18" s="356">
        <f>IF(ISNUMBER((Datos!M18-Datos!W18)/Datos!W18),(Datos!M18-Datos!W18)/Datos!W18," - ")</f>
        <v>0.18478260869565216</v>
      </c>
      <c r="I18" s="357">
        <f>IF(ISNUMBER((Tasas!C18-Datos!BE18)/Datos!BE18),(Tasas!C18-Datos!BE18)/Datos!BE18," - ")</f>
        <v>-9.3617021276595741E-2</v>
      </c>
      <c r="J18" s="355">
        <f>IF(ISNUMBER((Tasas!D18-Datos!BF18)/Datos!BF18),(Tasas!D18-Datos!BF18)/Datos!BF18," - ")</f>
        <v>-3.9365452408930614E-2</v>
      </c>
      <c r="K18" s="358">
        <f>IF(ISNUMBER((Tasas!E18-Datos!BG18)/Datos!BG18),(Tasas!E18-Datos!BG18)/Datos!BG18," - ")</f>
        <v>-9.4336419643930775E-2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0.17031546285123256</v>
      </c>
      <c r="E19" s="363">
        <f>IF(ISNUMBER(
   IF(J_V="SI",(Datos!J19-Datos!T19)/Datos!T19,(Datos!J19+Datos!Z19-(Datos!T19+Datos!AH19))/(Datos!T19+Datos!AH19))
     ),IF(J_V="SI",(Datos!J19-Datos!T19)/Datos!T19,(Datos!J19+Datos!Z19-(Datos!T19+Datos!AH19))/(Datos!T19+Datos!AH19))," - ")</f>
        <v>3.1216931216931216E-2</v>
      </c>
      <c r="F19" s="363">
        <f>IF(ISNUMBER(
   IF(J_V="SI",(Datos!K19-Datos!U19)/Datos!U19,(Datos!K19+Datos!AA19-(Datos!U19+Datos!AI19))/(Datos!U19+Datos!AI19))
     ),IF(J_V="SI",(Datos!K19-Datos!U19)/Datos!U19,(Datos!K19+Datos!AA19-(Datos!U19+Datos!AI19))/(Datos!U19+Datos!AI19))," - ")</f>
        <v>0.12801120448179271</v>
      </c>
      <c r="G19" s="364">
        <f>IF(ISNUMBER(
   IF(J_V="SI",(Datos!L19-Datos!V19)/Datos!V19,(Datos!L19+Datos!AB19-(Datos!V19+Datos!AJ19))/(Datos!V19+Datos!AJ19))
     ),IF(J_V="SI",(Datos!L19-Datos!V19)/Datos!V19,(Datos!L19+Datos!AB19-(Datos!V19+Datos!AJ19))/(Datos!V19+Datos!AJ19))," - ")</f>
        <v>0.13356973995271867</v>
      </c>
      <c r="H19" s="365">
        <f>IF(ISNUMBER((Datos!M19-Datos!W19)/Datos!W19),(Datos!M19-Datos!W19)/Datos!W19," - ")</f>
        <v>0.52179176755447942</v>
      </c>
      <c r="I19" s="362">
        <f>IF(ISNUMBER((Tasas!C19-Datos!BE19)/Datos!BE19),(Tasas!C19-Datos!BE19)/Datos!BE19," - ")</f>
        <v>4.9277307254049045E-3</v>
      </c>
      <c r="J19" s="363">
        <f>IF(ISNUMBER((Tasas!D19-Datos!BF19)/Datos!BF19),(Tasas!D19-Datos!BF19)/Datos!BF19," - ")</f>
        <v>0.38256902385325853</v>
      </c>
      <c r="K19" s="364">
        <f>IF(ISNUMBER((Tasas!E19-Datos!BG19)/Datos!BG19),(Tasas!E19-Datos!BG19)/Datos!BG19," - ")</f>
        <v>-1.1147409199364418E-2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0.36110308110093475</v>
      </c>
      <c r="E21" s="278">
        <f t="shared" si="1"/>
        <v>0.46119609185943694</v>
      </c>
      <c r="F21" s="278">
        <f t="shared" si="1"/>
        <v>0.53796150964494938</v>
      </c>
      <c r="G21" s="279">
        <f t="shared" si="1"/>
        <v>0.32142774280404829</v>
      </c>
      <c r="H21" s="285">
        <f t="shared" si="1"/>
        <v>0.66698027917513791</v>
      </c>
      <c r="I21" s="277">
        <f t="shared" si="1"/>
        <v>0.80994220717309307</v>
      </c>
      <c r="J21" s="278">
        <f t="shared" si="1"/>
        <v>0.56798489302799871</v>
      </c>
      <c r="K21" s="279">
        <f t="shared" si="1"/>
        <v>0.51766528542054924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KmsSHneymdN6FnjMn/TJziLSrMhS9jE5ahiplmlPPEOAHo9F9uRmb6g5gYH5RchL9QWWmnUzKoSxR4Cwc4bxg==" saltValue="e+U5Un4BGChMR4X6mzL7C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19.72278987116837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26</v>
      </c>
      <c r="D10" s="225">
        <f>IF(ISNUMBER(Datos!I10),Datos!I10," - ")</f>
        <v>28</v>
      </c>
      <c r="E10" s="226">
        <f>IF(ISNUMBER(Datos!J10),Datos!J10," - ")</f>
        <v>12</v>
      </c>
      <c r="F10" s="226">
        <f>IF(ISNUMBER(Datos!K10),Datos!K10," - ")</f>
        <v>20</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-0.30769230769230771</v>
      </c>
      <c r="L10" s="1025">
        <f>IF(ISNUMBER(NºAsuntos!I10/NºAsuntos!G10),(NºAsuntos!I10/NºAsuntos!G10)*11," - ")</f>
        <v>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20.705882352941178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v>
      </c>
      <c r="D13" s="1049">
        <f>SUBTOTAL(9,D9:D12)</f>
        <v>28</v>
      </c>
      <c r="E13" s="1050">
        <f>SUBTOTAL(9,E9:E12)</f>
        <v>12</v>
      </c>
      <c r="F13" s="1051">
        <f>SUBTOTAL(9,F9:F12)</f>
        <v>20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2179</v>
      </c>
      <c r="D15" s="225">
        <f>IF(ISNUMBER(IF(D_I="SI",Datos!I15,Datos!I15+Datos!AC15)),IF(D_I="SI",Datos!I15,Datos!I15+Datos!AC15)," - ")</f>
        <v>2081</v>
      </c>
      <c r="E15" s="226">
        <f>IF(ISNUMBER(IF(D_I="SI",Datos!J15,Datos!J15+Datos!AD15)),IF(D_I="SI",Datos!J15,Datos!J15+Datos!AD15)," - ")</f>
        <v>1617</v>
      </c>
      <c r="F15" s="226">
        <f>IF(ISNUMBER(IF(D_I="SI",Datos!K15,Datos!K15+Datos!AE15)),IF(D_I="SI",Datos!K15,Datos!K15+Datos!AE15)," - ")</f>
        <v>1596</v>
      </c>
      <c r="G15" s="1034" t="str">
        <f>IF(Datos!E15&lt;&gt;"",Datos!E15,Datos!D15)</f>
        <v>03</v>
      </c>
      <c r="H15" s="227">
        <f>IF(ISNUMBER(IF(D_I="SI",Datos!L15,Datos!L15+Datos!AF15)),IF(D_I="SI",Datos!L15,Datos!L15+Datos!AF15)," - ")</f>
        <v>2200</v>
      </c>
      <c r="I15" s="1044" t="str">
        <f>IF(ISNUMBER(Datos!AS15/Datos!BM15),Datos!AS15/Datos!BM15," - ")</f>
        <v xml:space="preserve"> - </v>
      </c>
      <c r="J15" s="1045">
        <f>IF(ISNUMBER(Datos!BY15/Datos!CN15),Datos!BY15/Datos!CN15," - ")</f>
        <v>0</v>
      </c>
      <c r="K15" s="230">
        <f t="shared" ref="K15:K17" si="3">IF(ISNUMBER((E15-F15)/C15),(E15-F15)/C15," - ")</f>
        <v>9.6374483708122991E-3</v>
      </c>
      <c r="L15" s="1025">
        <f>IF(ISNUMBER(NºAsuntos!I15/NºAsuntos!G15),(NºAsuntos!I15/NºAsuntos!G15)*11," - ")</f>
        <v>15.162907268170427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171</v>
      </c>
      <c r="D16" s="225">
        <f>IF(ISNUMBER(IF(D_I="SI",Datos!I16,Datos!I16+Datos!AC16)),IF(D_I="SI",Datos!I16,Datos!I16+Datos!AC16)," - ")</f>
        <v>171</v>
      </c>
      <c r="E16" s="226">
        <f>IF(ISNUMBER(IF(D_I="SI",Datos!J16,Datos!J16+Datos!AD16)),IF(D_I="SI",Datos!J16,Datos!J16+Datos!AD16)," - ")</f>
        <v>6</v>
      </c>
      <c r="F16" s="226">
        <f>IF(ISNUMBER(IF(D_I="SI",Datos!K16,Datos!K16+Datos!AE16)),IF(D_I="SI",Datos!K16,Datos!K16+Datos!AE16)," - ")</f>
        <v>25</v>
      </c>
      <c r="G16" s="1034" t="str">
        <f>IF(Datos!E16&lt;&gt;"",Datos!E16,Datos!D16)</f>
        <v>04</v>
      </c>
      <c r="H16" s="227">
        <f>IF(ISNUMBER(IF(D_I="SI",Datos!L16,Datos!L16+Datos!AF16)),IF(D_I="SI",Datos!L16,Datos!L16+Datos!AF16)," - ")</f>
        <v>152</v>
      </c>
      <c r="I16" s="1044" t="str">
        <f>IF(ISNUMBER(Datos!AS16/Datos!BM16),Datos!AS16/Datos!BM16," - ")</f>
        <v xml:space="preserve"> - </v>
      </c>
      <c r="J16" s="1045">
        <f>IF(ISNUMBER(Datos!BY16/Datos!CN16),Datos!BY16/Datos!CN16," - ")</f>
        <v>0</v>
      </c>
      <c r="K16" s="230">
        <f t="shared" si="3"/>
        <v>-0.1111111111111111</v>
      </c>
      <c r="L16" s="1025">
        <f>IF(ISNUMBER(NºAsuntos!I16/NºAsuntos!G16),(NºAsuntos!I16/NºAsuntos!G16)*11," - ")</f>
        <v>66.88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226</v>
      </c>
      <c r="D17" s="225">
        <f>IF(ISNUMBER(IF(D_I="SI",Datos!I17,Datos!I17+Datos!AC17)),IF(D_I="SI",Datos!I17,Datos!I17+Datos!AC17)," - ")</f>
        <v>226</v>
      </c>
      <c r="E17" s="226">
        <f>IF(ISNUMBER(IF(D_I="SI",Datos!J17,Datos!J17+Datos!AD17)),IF(D_I="SI",Datos!J17,Datos!J17+Datos!AD17)," - ")</f>
        <v>167</v>
      </c>
      <c r="F17" s="226">
        <f>IF(ISNUMBER(IF(D_I="SI",Datos!K17,Datos!K17+Datos!AE17)),IF(D_I="SI",Datos!K17,Datos!K17+Datos!AE17)," - ")</f>
        <v>118</v>
      </c>
      <c r="G17" s="1034" t="str">
        <f>IF(Datos!E17&lt;&gt;"",Datos!E17,Datos!D17)</f>
        <v>37</v>
      </c>
      <c r="H17" s="227">
        <f>IF(ISNUMBER(IF(D_I="SI",Datos!L17,Datos!L17+Datos!AF17)),IF(D_I="SI",Datos!L17,Datos!L17+Datos!AF17)," - ")</f>
        <v>275</v>
      </c>
      <c r="I17" s="1044" t="str">
        <f>IF(ISNUMBER(Datos!AS17/Datos!BM17),Datos!AS17/Datos!BM17," - ")</f>
        <v xml:space="preserve"> - </v>
      </c>
      <c r="J17" s="1045" t="str">
        <f>IF(ISNUMBER((Datos!BY17+Datos!BZ17)/Datos!CN17),(Datos!BY17+Datos!BZ17)/Datos!CN17," - ")</f>
        <v xml:space="preserve"> - </v>
      </c>
      <c r="K17" s="230">
        <f t="shared" si="3"/>
        <v>0.2168141592920354</v>
      </c>
      <c r="L17" s="1025">
        <f>IF(ISNUMBER(NºAsuntos!I17/NºAsuntos!G17),(NºAsuntos!I17/NºAsuntos!G17)*11," - ")</f>
        <v>25.635593220338983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2576</v>
      </c>
      <c r="D18" s="1049">
        <f>SUBTOTAL(9,D15:D17)</f>
        <v>2478</v>
      </c>
      <c r="E18" s="1050">
        <f>SUBTOTAL(9,E15:E17)</f>
        <v>1790</v>
      </c>
      <c r="F18" s="1050">
        <f>SUBTOTAL(9,F15:F17)</f>
        <v>1739</v>
      </c>
      <c r="G18" s="1052" t="str">
        <f ca="1">INDIRECT(CONCATENATE("G",ROW()-1))</f>
        <v>37</v>
      </c>
      <c r="H18" s="1053">
        <f ca="1">SUMIF(G$14:G17,G18,H$14:H17)</f>
        <v>275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2602</v>
      </c>
      <c r="D19" s="1071">
        <f>SUBTOTAL(9,D9:D18)</f>
        <v>2506</v>
      </c>
      <c r="E19" s="1072">
        <f>SUBTOTAL(9,E9:E18)</f>
        <v>1802</v>
      </c>
      <c r="F19" s="1072">
        <f>SUBTOTAL(9,F9:F18)</f>
        <v>1759</v>
      </c>
      <c r="G19" s="1073"/>
      <c r="H19" s="1074">
        <f ca="1">SUMIF(B9:B18,"TOTAL",H9:H18)</f>
        <v>275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4djKm6/p6EQjQDpoC1XFQ5AM09PeJYnLSZsJXYw2+HiOHqIfFADfZhnT3RBHoV6RtSFtJRgpZqpkQW7nVf2LSg==" saltValue="9/+BPnvTXe/1maOrq/9YL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m/2Q4fBSFfQ6tOupmJ68swoqipOba+TpzWEh/Mc13r+6V7rAEuOSLbeKJpBF/7HYD2HQxHXpafGLmtFLfb6Hg==" saltValue="27RJraXLwSRu4XYPY/0DH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4210</v>
      </c>
      <c r="J9" s="181">
        <v>2030</v>
      </c>
      <c r="K9" s="181">
        <v>2178</v>
      </c>
      <c r="L9" s="181">
        <v>4012</v>
      </c>
      <c r="M9" s="181">
        <v>1024</v>
      </c>
      <c r="N9" s="181">
        <v>529</v>
      </c>
      <c r="O9" s="181">
        <v>923</v>
      </c>
      <c r="P9" s="181">
        <v>596</v>
      </c>
      <c r="Q9" s="181">
        <v>214</v>
      </c>
      <c r="R9" s="181">
        <v>5313</v>
      </c>
      <c r="S9" s="181">
        <v>3302</v>
      </c>
      <c r="T9" s="181">
        <v>2070</v>
      </c>
      <c r="U9" s="181">
        <v>1921</v>
      </c>
      <c r="V9" s="181">
        <v>3408</v>
      </c>
      <c r="W9" s="181">
        <v>596</v>
      </c>
      <c r="X9" s="188">
        <v>593</v>
      </c>
      <c r="Y9" s="191">
        <v>32</v>
      </c>
      <c r="Z9" s="181">
        <v>65</v>
      </c>
      <c r="AA9" s="181">
        <v>73</v>
      </c>
      <c r="AB9" s="181">
        <v>24</v>
      </c>
      <c r="AC9" s="181">
        <v>0</v>
      </c>
      <c r="AD9" s="181">
        <v>0</v>
      </c>
      <c r="AE9" s="181">
        <v>0</v>
      </c>
      <c r="AF9" s="188">
        <v>0</v>
      </c>
      <c r="AG9" s="191">
        <v>69</v>
      </c>
      <c r="AH9" s="181">
        <v>101</v>
      </c>
      <c r="AI9" s="181">
        <v>120</v>
      </c>
      <c r="AJ9" s="192">
        <v>53</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3371</v>
      </c>
      <c r="AZ9" s="123">
        <f>IF(ISNUMBER(IF(J_V="SI",T9,T9+AH9)),IF(J_V="SI",T9,T9+AH9)," - ")</f>
        <v>2171</v>
      </c>
      <c r="BA9" s="124">
        <f>IF(ISNUMBER(IF(J_V="SI",U9,U9+AI9)),IF(J_V="SI",U9,U9+AI9)," - ")</f>
        <v>2041</v>
      </c>
      <c r="BB9" s="124">
        <f>IF(ISNUMBER(IF(J_V="SI",V9,V9+AJ9)),IF(J_V="SI",V9,V9+AJ9)," - ")</f>
        <v>3461</v>
      </c>
      <c r="BC9" s="125">
        <f>IF(ISNUMBER(X9),X9," - ")</f>
        <v>593</v>
      </c>
      <c r="BD9" s="126">
        <f>IF(ISNUMBER(BA9/AZ9),BA9/AZ9," - ")</f>
        <v>0.94011976047904189</v>
      </c>
      <c r="BE9" s="127">
        <f>IF(ISNUMBER(BB9/BA9),BB9/BA9, " - ")</f>
        <v>1.6957373836354728</v>
      </c>
      <c r="BF9" s="127">
        <f>IF(ISNUMBER(BC9/BA9),BC9/BA9, " - ")</f>
        <v>0.29054385105340519</v>
      </c>
      <c r="BG9" s="196">
        <f>IF(ISNUMBER((AY9+AZ9)/BA9),(AY9+AZ9)/BA9," - ")</f>
        <v>2.7153356197942187</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28</v>
      </c>
      <c r="J10" s="181">
        <v>12</v>
      </c>
      <c r="K10" s="181">
        <v>20</v>
      </c>
      <c r="L10" s="181">
        <v>18</v>
      </c>
      <c r="M10" s="181">
        <v>9</v>
      </c>
      <c r="N10" s="181">
        <v>7</v>
      </c>
      <c r="O10" s="181">
        <v>2</v>
      </c>
      <c r="P10" s="181">
        <v>8</v>
      </c>
      <c r="Q10" s="181">
        <v>1</v>
      </c>
      <c r="R10" s="181">
        <v>55</v>
      </c>
      <c r="S10" s="181">
        <v>20</v>
      </c>
      <c r="T10" s="181">
        <v>17</v>
      </c>
      <c r="U10" s="181">
        <v>13</v>
      </c>
      <c r="V10" s="181">
        <v>24</v>
      </c>
      <c r="W10" s="181">
        <v>6</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20</v>
      </c>
      <c r="AZ10" s="129">
        <f t="shared" si="0"/>
        <v>17</v>
      </c>
      <c r="BA10" s="129">
        <f t="shared" si="0"/>
        <v>13</v>
      </c>
      <c r="BB10" s="129">
        <f t="shared" si="0"/>
        <v>24</v>
      </c>
      <c r="BC10" s="125">
        <f t="shared" si="0"/>
        <v>6</v>
      </c>
      <c r="BD10" s="126">
        <f>IF(ISNUMBER(BA10/AZ10),BA10/AZ10," - ")</f>
        <v>0.76470588235294112</v>
      </c>
      <c r="BE10" s="127">
        <f>IF(ISNUMBER(BB10/BA10),BB10/BA10, " - ")</f>
        <v>1.8461538461538463</v>
      </c>
      <c r="BF10" s="127">
        <f>IF(ISNUMBER(BC10/BA10),BC10/BA10, " - ")</f>
        <v>0.46153846153846156</v>
      </c>
      <c r="BG10" s="196">
        <f>IF(ISNUMBER((AY10+AZ10)/BA10),(AY10+AZ10)/BA10," - ")</f>
        <v>2.8461538461538463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41</v>
      </c>
      <c r="J12" s="183">
        <v>1</v>
      </c>
      <c r="K12" s="183">
        <v>17</v>
      </c>
      <c r="L12" s="183">
        <v>32</v>
      </c>
      <c r="M12" s="183">
        <v>6</v>
      </c>
      <c r="N12" s="183">
        <v>6</v>
      </c>
      <c r="O12" s="181">
        <v>45</v>
      </c>
      <c r="P12" s="183">
        <v>0</v>
      </c>
      <c r="Q12" s="183">
        <v>35</v>
      </c>
      <c r="R12" s="183">
        <v>1814</v>
      </c>
      <c r="S12" s="183">
        <v>169</v>
      </c>
      <c r="T12" s="183">
        <v>8</v>
      </c>
      <c r="U12" s="183">
        <v>102</v>
      </c>
      <c r="V12" s="183">
        <v>87</v>
      </c>
      <c r="W12" s="183">
        <v>40</v>
      </c>
      <c r="X12" s="189">
        <v>23</v>
      </c>
      <c r="Y12" s="191">
        <v>0</v>
      </c>
      <c r="Z12" s="181">
        <v>0</v>
      </c>
      <c r="AA12" s="181">
        <v>0</v>
      </c>
      <c r="AB12" s="181">
        <v>0</v>
      </c>
      <c r="AC12" s="183">
        <v>0</v>
      </c>
      <c r="AD12" s="183">
        <v>0</v>
      </c>
      <c r="AE12" s="183">
        <v>0</v>
      </c>
      <c r="AF12" s="189">
        <v>0</v>
      </c>
      <c r="AG12" s="202">
        <v>1</v>
      </c>
      <c r="AH12" s="183">
        <v>3</v>
      </c>
      <c r="AI12" s="183">
        <v>4</v>
      </c>
      <c r="AJ12" s="203">
        <v>0</v>
      </c>
      <c r="AK12" s="182">
        <v>0</v>
      </c>
      <c r="AL12" s="183">
        <v>0</v>
      </c>
      <c r="AM12" s="183">
        <v>0</v>
      </c>
      <c r="AN12" s="189">
        <v>0</v>
      </c>
      <c r="AO12" s="259">
        <v>0</v>
      </c>
      <c r="AP12" s="155">
        <v>0</v>
      </c>
      <c r="AQ12" s="155">
        <v>0</v>
      </c>
      <c r="AR12" s="154">
        <v>0</v>
      </c>
      <c r="AS12" s="340" t="s">
        <v>794</v>
      </c>
      <c r="AT12" s="203"/>
      <c r="AU12" s="202"/>
      <c r="AV12" s="203"/>
      <c r="AW12" s="202"/>
      <c r="AX12" s="203"/>
      <c r="AY12" s="126">
        <f t="shared" si="1"/>
        <v>170</v>
      </c>
      <c r="AZ12" s="127">
        <f t="shared" si="1"/>
        <v>11</v>
      </c>
      <c r="BA12" s="127">
        <f t="shared" si="1"/>
        <v>106</v>
      </c>
      <c r="BB12" s="127">
        <f t="shared" si="1"/>
        <v>87</v>
      </c>
      <c r="BC12" s="125">
        <f>IF(ISNUMBER(X12),X12," - ")</f>
        <v>23</v>
      </c>
      <c r="BD12" s="126">
        <f t="shared" si="2"/>
        <v>9.6363636363636367</v>
      </c>
      <c r="BE12" s="127">
        <f t="shared" si="3"/>
        <v>0.82075471698113212</v>
      </c>
      <c r="BF12" s="127">
        <f t="shared" si="4"/>
        <v>0.21698113207547171</v>
      </c>
      <c r="BG12" s="196">
        <f t="shared" si="5"/>
        <v>1.7075471698113207</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4279</v>
      </c>
      <c r="J13" s="184">
        <f t="shared" si="6"/>
        <v>2043</v>
      </c>
      <c r="K13" s="184">
        <f t="shared" si="6"/>
        <v>2215</v>
      </c>
      <c r="L13" s="184">
        <f t="shared" si="6"/>
        <v>4062</v>
      </c>
      <c r="M13" s="184">
        <f t="shared" si="6"/>
        <v>1039</v>
      </c>
      <c r="N13" s="184">
        <f t="shared" si="6"/>
        <v>542</v>
      </c>
      <c r="O13" s="184">
        <f t="shared" si="6"/>
        <v>970</v>
      </c>
      <c r="P13" s="184">
        <f t="shared" si="6"/>
        <v>604</v>
      </c>
      <c r="Q13" s="184">
        <f t="shared" si="6"/>
        <v>250</v>
      </c>
      <c r="R13" s="184">
        <f t="shared" si="6"/>
        <v>7182</v>
      </c>
      <c r="S13" s="184">
        <f t="shared" si="6"/>
        <v>3491</v>
      </c>
      <c r="T13" s="184">
        <f t="shared" si="6"/>
        <v>2095</v>
      </c>
      <c r="U13" s="184">
        <f t="shared" si="6"/>
        <v>2036</v>
      </c>
      <c r="V13" s="184">
        <f t="shared" si="6"/>
        <v>3519</v>
      </c>
      <c r="W13" s="184">
        <f t="shared" si="6"/>
        <v>642</v>
      </c>
      <c r="X13" s="184">
        <f t="shared" si="6"/>
        <v>621</v>
      </c>
      <c r="Y13" s="184">
        <f t="shared" si="6"/>
        <v>32</v>
      </c>
      <c r="Z13" s="184">
        <f t="shared" si="6"/>
        <v>65</v>
      </c>
      <c r="AA13" s="184">
        <f t="shared" si="6"/>
        <v>73</v>
      </c>
      <c r="AB13" s="184">
        <f t="shared" si="6"/>
        <v>24</v>
      </c>
      <c r="AC13" s="184">
        <f t="shared" si="6"/>
        <v>0</v>
      </c>
      <c r="AD13" s="184">
        <f t="shared" si="6"/>
        <v>0</v>
      </c>
      <c r="AE13" s="184">
        <f t="shared" si="6"/>
        <v>0</v>
      </c>
      <c r="AF13" s="184">
        <f>SUBTOTAL(9,AF9:AF12)</f>
        <v>0</v>
      </c>
      <c r="AG13" s="184">
        <f t="shared" ref="AG13:AT13" si="7">SUBTOTAL(9,AG8:AG12)</f>
        <v>70</v>
      </c>
      <c r="AH13" s="184">
        <f t="shared" si="7"/>
        <v>104</v>
      </c>
      <c r="AI13" s="184">
        <f t="shared" si="7"/>
        <v>124</v>
      </c>
      <c r="AJ13" s="184">
        <f t="shared" si="7"/>
        <v>53</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3561</v>
      </c>
      <c r="AZ13" s="184">
        <f>SUBTOTAL(9,AZ8:AZ12)</f>
        <v>2199</v>
      </c>
      <c r="BA13" s="184">
        <f>SUBTOTAL(9,BA8:BA12)</f>
        <v>2160</v>
      </c>
      <c r="BB13" s="184">
        <f>SUBTOTAL(9,BB8:BB12)</f>
        <v>3572</v>
      </c>
      <c r="BC13" s="184">
        <f>SUBTOTAL(9,BC8:BC12)</f>
        <v>622</v>
      </c>
      <c r="BD13" s="205">
        <f>IF(ISNUMBER(BA13/AZ13),BA13/AZ13," - ")</f>
        <v>0.98226466575716231</v>
      </c>
      <c r="BE13" s="206">
        <f>IF(ISNUMBER(BB13/BA13),BB13/BA13, " - ")</f>
        <v>1.6537037037037037</v>
      </c>
      <c r="BF13" s="206">
        <f>IF(ISNUMBER(BC13/BA13),BC13/BA13, " - ")</f>
        <v>0.28796296296296298</v>
      </c>
      <c r="BG13" s="207">
        <f>IF(ISNUMBER((AY13+AZ13)/BA13),(AY13+AZ13)/BA13," - ")</f>
        <v>2.6666666666666665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2081</v>
      </c>
      <c r="J15" s="183">
        <v>1617</v>
      </c>
      <c r="K15" s="183">
        <v>1596</v>
      </c>
      <c r="L15" s="183">
        <v>2200</v>
      </c>
      <c r="M15" s="183">
        <v>208</v>
      </c>
      <c r="N15" s="183">
        <v>913</v>
      </c>
      <c r="O15" s="181">
        <v>46</v>
      </c>
      <c r="P15" s="183">
        <v>71</v>
      </c>
      <c r="Q15" s="183">
        <v>62</v>
      </c>
      <c r="R15" s="183">
        <v>253</v>
      </c>
      <c r="S15" s="183">
        <v>1674</v>
      </c>
      <c r="T15" s="183">
        <v>1417</v>
      </c>
      <c r="U15" s="183">
        <v>1188</v>
      </c>
      <c r="V15" s="183">
        <v>1851</v>
      </c>
      <c r="W15" s="183">
        <v>152</v>
      </c>
      <c r="X15" s="189">
        <v>791</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3</v>
      </c>
      <c r="AP15" s="155">
        <v>3</v>
      </c>
      <c r="AQ15" s="155">
        <v>3</v>
      </c>
      <c r="AR15" s="155">
        <v>3</v>
      </c>
      <c r="AS15" s="340" t="s">
        <v>519</v>
      </c>
      <c r="AT15" s="203" t="s">
        <v>326</v>
      </c>
      <c r="AU15" s="202"/>
      <c r="AV15" s="203"/>
      <c r="AW15" s="202"/>
      <c r="AX15" s="203"/>
      <c r="AY15" s="128">
        <f t="shared" ref="AY15:BB16" si="9">IF(ISNUMBER(IF(D_I="SI",S15,S15+AK15)),IF(D_I="SI",S15,S15+AK15)," - ")</f>
        <v>1674</v>
      </c>
      <c r="AZ15" s="129">
        <f t="shared" si="9"/>
        <v>1417</v>
      </c>
      <c r="BA15" s="129">
        <f t="shared" si="9"/>
        <v>1188</v>
      </c>
      <c r="BB15" s="129">
        <f t="shared" si="9"/>
        <v>1851</v>
      </c>
      <c r="BC15" s="125">
        <f>IF(ISNUMBER(W15),W15," - ")</f>
        <v>152</v>
      </c>
      <c r="BD15" s="126">
        <f>IF(ISNUMBER(BA15/AZ15),BA15/AZ15," - ")</f>
        <v>0.83839096683133385</v>
      </c>
      <c r="BE15" s="127">
        <f>IF(ISNUMBER(BB15/BA15),BB15/BA15, " - ")</f>
        <v>1.5580808080808082</v>
      </c>
      <c r="BF15" s="127">
        <f>IF(ISNUMBER(BC15/BA15),BC15/BA15, " - ")</f>
        <v>0.12794612794612795</v>
      </c>
      <c r="BG15" s="196">
        <f t="shared" ref="BG15:BG16" si="10">IF(ISNUMBER((AY15+AZ15)/BA15),(AY15+AZ15)/BA15," - ")</f>
        <v>2.6018518518518516</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171</v>
      </c>
      <c r="J16" s="183">
        <v>6</v>
      </c>
      <c r="K16" s="183">
        <v>25</v>
      </c>
      <c r="L16" s="183">
        <v>152</v>
      </c>
      <c r="M16" s="183">
        <v>0</v>
      </c>
      <c r="N16" s="183">
        <v>7</v>
      </c>
      <c r="O16" s="181">
        <v>0</v>
      </c>
      <c r="P16" s="183">
        <v>0</v>
      </c>
      <c r="Q16" s="183">
        <v>0</v>
      </c>
      <c r="R16" s="183">
        <v>0</v>
      </c>
      <c r="S16" s="183">
        <v>372</v>
      </c>
      <c r="T16" s="183">
        <v>36</v>
      </c>
      <c r="U16" s="183">
        <v>134</v>
      </c>
      <c r="V16" s="183">
        <v>286</v>
      </c>
      <c r="W16" s="183">
        <v>18</v>
      </c>
      <c r="X16" s="189">
        <v>42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372</v>
      </c>
      <c r="AZ16" s="127">
        <f t="shared" si="9"/>
        <v>36</v>
      </c>
      <c r="BA16" s="127">
        <f t="shared" si="9"/>
        <v>134</v>
      </c>
      <c r="BB16" s="127">
        <f t="shared" si="9"/>
        <v>286</v>
      </c>
      <c r="BC16" s="125">
        <f>IF(ISNUMBER(W16),W16," - ")</f>
        <v>18</v>
      </c>
      <c r="BD16" s="126">
        <f t="shared" ref="BD16" si="11">IF(ISNUMBER(BA16/AZ16),BA16/AZ16," - ")</f>
        <v>3.7222222222222223</v>
      </c>
      <c r="BE16" s="127">
        <f t="shared" ref="BE16" si="12">IF(ISNUMBER(BB16/BA16),BB16/BA16, " - ")</f>
        <v>2.1343283582089554</v>
      </c>
      <c r="BF16" s="127">
        <f t="shared" ref="BF16" si="13">IF(ISNUMBER(BC16/BA16),BC16/BA16, " - ")</f>
        <v>0.13432835820895522</v>
      </c>
      <c r="BG16" s="196">
        <f t="shared" si="10"/>
        <v>3.044776119402985</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226</v>
      </c>
      <c r="J17" s="183">
        <v>167</v>
      </c>
      <c r="K17" s="183">
        <v>118</v>
      </c>
      <c r="L17" s="183">
        <v>275</v>
      </c>
      <c r="M17" s="183">
        <v>10</v>
      </c>
      <c r="N17" s="183">
        <v>59</v>
      </c>
      <c r="O17" s="183">
        <v>1</v>
      </c>
      <c r="P17" s="183">
        <v>0</v>
      </c>
      <c r="Q17" s="183">
        <v>1</v>
      </c>
      <c r="R17" s="183">
        <v>5</v>
      </c>
      <c r="S17" s="183">
        <v>194</v>
      </c>
      <c r="T17" s="183">
        <v>128</v>
      </c>
      <c r="U17" s="183">
        <v>88</v>
      </c>
      <c r="V17" s="183">
        <v>213</v>
      </c>
      <c r="W17" s="183">
        <v>14</v>
      </c>
      <c r="X17" s="189">
        <v>61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194</v>
      </c>
      <c r="AZ17" s="129">
        <f t="shared" si="14"/>
        <v>128</v>
      </c>
      <c r="BA17" s="129">
        <f t="shared" si="14"/>
        <v>88</v>
      </c>
      <c r="BB17" s="129">
        <f t="shared" si="14"/>
        <v>213</v>
      </c>
      <c r="BC17" s="125">
        <f>IF(ISNUMBER(W17),W17," - ")</f>
        <v>14</v>
      </c>
      <c r="BD17" s="126">
        <f>IF(ISNUMBER(BA17/AZ17),BA17/AZ17," - ")</f>
        <v>0.6875</v>
      </c>
      <c r="BE17" s="127">
        <f>IF(ISNUMBER(BB17/BA17),BB17/BA17, " - ")</f>
        <v>2.4204545454545454</v>
      </c>
      <c r="BF17" s="127">
        <f>IF(ISNUMBER(BC17/BA17),BC17/BA17, " - ")</f>
        <v>0.15909090909090909</v>
      </c>
      <c r="BG17" s="196">
        <f>IF(ISNUMBER((AY17+AZ17)/BA17),(AY17+AZ17)/BA17," - ")</f>
        <v>3.6590909090909092</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2478</v>
      </c>
      <c r="J18" s="184">
        <f t="shared" si="15"/>
        <v>1790</v>
      </c>
      <c r="K18" s="184">
        <f t="shared" si="15"/>
        <v>1739</v>
      </c>
      <c r="L18" s="184">
        <f t="shared" si="15"/>
        <v>2627</v>
      </c>
      <c r="M18" s="184">
        <f t="shared" si="15"/>
        <v>218</v>
      </c>
      <c r="N18" s="184">
        <f t="shared" si="15"/>
        <v>979</v>
      </c>
      <c r="O18" s="184">
        <f t="shared" si="15"/>
        <v>47</v>
      </c>
      <c r="P18" s="184">
        <f t="shared" si="15"/>
        <v>71</v>
      </c>
      <c r="Q18" s="184">
        <f t="shared" si="15"/>
        <v>63</v>
      </c>
      <c r="R18" s="184">
        <f t="shared" si="15"/>
        <v>258</v>
      </c>
      <c r="S18" s="184">
        <f t="shared" si="15"/>
        <v>2240</v>
      </c>
      <c r="T18" s="184">
        <f t="shared" si="15"/>
        <v>1581</v>
      </c>
      <c r="U18" s="184">
        <f t="shared" si="15"/>
        <v>1410</v>
      </c>
      <c r="V18" s="184">
        <f t="shared" si="15"/>
        <v>2350</v>
      </c>
      <c r="W18" s="184">
        <f t="shared" si="15"/>
        <v>184</v>
      </c>
      <c r="X18" s="184">
        <f t="shared" si="15"/>
        <v>894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2240</v>
      </c>
      <c r="AZ18" s="184">
        <f>SUBTOTAL(9,AZ14:AZ17)</f>
        <v>1581</v>
      </c>
      <c r="BA18" s="184">
        <f>SUBTOTAL(9,BA14:BA17)</f>
        <v>1410</v>
      </c>
      <c r="BB18" s="184">
        <f>SUBTOTAL(9,BB14:BB17)</f>
        <v>2350</v>
      </c>
      <c r="BC18" s="184">
        <f>SUBTOTAL(9,BC14:BC17)</f>
        <v>184</v>
      </c>
      <c r="BD18" s="205">
        <f>IF(ISNUMBER(BA18/AZ18),BA18/AZ18," - ")</f>
        <v>0.89184060721062619</v>
      </c>
      <c r="BE18" s="206">
        <f>IF(ISNUMBER(BB18/BA18),BB18/BA18, " - ")</f>
        <v>1.6666666666666667</v>
      </c>
      <c r="BF18" s="206">
        <f>IF(ISNUMBER(BC18/BA18),BC18/BA18, " - ")</f>
        <v>0.13049645390070921</v>
      </c>
      <c r="BG18" s="207">
        <f>IF(ISNUMBER((AY18+AZ18)/BA18),(AY18+AZ18)/BA18," - ")</f>
        <v>2.7099290780141843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6757</v>
      </c>
      <c r="J19" s="134">
        <f t="shared" si="18"/>
        <v>3833</v>
      </c>
      <c r="K19" s="134">
        <f t="shared" si="18"/>
        <v>3954</v>
      </c>
      <c r="L19" s="134">
        <f t="shared" si="18"/>
        <v>6689</v>
      </c>
      <c r="M19" s="134">
        <f t="shared" si="18"/>
        <v>1257</v>
      </c>
      <c r="N19" s="134">
        <f t="shared" si="18"/>
        <v>1521</v>
      </c>
      <c r="O19" s="134">
        <f t="shared" si="18"/>
        <v>1017</v>
      </c>
      <c r="P19" s="134">
        <f t="shared" si="18"/>
        <v>675</v>
      </c>
      <c r="Q19" s="134">
        <f t="shared" si="18"/>
        <v>313</v>
      </c>
      <c r="R19" s="134">
        <f t="shared" si="18"/>
        <v>7440</v>
      </c>
      <c r="S19" s="134">
        <f t="shared" si="18"/>
        <v>5731</v>
      </c>
      <c r="T19" s="134">
        <f t="shared" si="18"/>
        <v>3676</v>
      </c>
      <c r="U19" s="134">
        <f t="shared" si="18"/>
        <v>3446</v>
      </c>
      <c r="V19" s="134">
        <f t="shared" si="18"/>
        <v>5869</v>
      </c>
      <c r="W19" s="134">
        <f t="shared" si="18"/>
        <v>826</v>
      </c>
      <c r="X19" s="134">
        <f t="shared" si="18"/>
        <v>1515</v>
      </c>
      <c r="Y19" s="134">
        <f t="shared" si="18"/>
        <v>32</v>
      </c>
      <c r="Z19" s="134">
        <f t="shared" si="18"/>
        <v>65</v>
      </c>
      <c r="AA19" s="134">
        <f t="shared" si="18"/>
        <v>73</v>
      </c>
      <c r="AB19" s="134">
        <f t="shared" si="18"/>
        <v>24</v>
      </c>
      <c r="AC19" s="134">
        <f t="shared" si="18"/>
        <v>0</v>
      </c>
      <c r="AD19" s="134">
        <f t="shared" si="18"/>
        <v>0</v>
      </c>
      <c r="AE19" s="134">
        <f t="shared" si="18"/>
        <v>0</v>
      </c>
      <c r="AF19" s="134">
        <f t="shared" si="18"/>
        <v>0</v>
      </c>
      <c r="AG19" s="134">
        <f t="shared" si="18"/>
        <v>70</v>
      </c>
      <c r="AH19" s="134">
        <f t="shared" si="18"/>
        <v>104</v>
      </c>
      <c r="AI19" s="134">
        <f t="shared" si="18"/>
        <v>124</v>
      </c>
      <c r="AJ19" s="134">
        <f t="shared" si="18"/>
        <v>53</v>
      </c>
      <c r="AK19" s="134">
        <f t="shared" si="18"/>
        <v>0</v>
      </c>
      <c r="AL19" s="134">
        <f t="shared" si="18"/>
        <v>0</v>
      </c>
      <c r="AM19" s="134">
        <f t="shared" si="18"/>
        <v>0</v>
      </c>
      <c r="AN19" s="210">
        <f t="shared" si="18"/>
        <v>0</v>
      </c>
      <c r="AO19" s="211">
        <v>10</v>
      </c>
      <c r="AP19" s="211">
        <v>9</v>
      </c>
      <c r="AQ19" s="211">
        <v>9</v>
      </c>
      <c r="AR19" s="211">
        <v>9</v>
      </c>
      <c r="AS19" s="153">
        <f t="shared" si="18"/>
        <v>0</v>
      </c>
      <c r="AT19" s="153">
        <f t="shared" si="18"/>
        <v>0</v>
      </c>
      <c r="AU19" s="211"/>
      <c r="AV19" s="212"/>
      <c r="AW19" s="211"/>
      <c r="AX19" s="212"/>
      <c r="AY19" s="133">
        <f>SUBTOTAL(9,AY9:AY18)</f>
        <v>5801</v>
      </c>
      <c r="AZ19" s="134">
        <f>SUBTOTAL(9,AZ9:AZ18)</f>
        <v>3780</v>
      </c>
      <c r="BA19" s="134">
        <f>SUBTOTAL(9,BA9:BA18)</f>
        <v>3570</v>
      </c>
      <c r="BB19" s="134">
        <f>SUBTOTAL(9,BB9:BB18)</f>
        <v>5922</v>
      </c>
      <c r="BC19" s="135">
        <f>SUBTOTAL(9,BC9:BC18)</f>
        <v>806</v>
      </c>
      <c r="BD19" s="213">
        <f>IF(ISNUMBER(BA19/AZ19),BA19/AZ19," - ")</f>
        <v>0.94444444444444442</v>
      </c>
      <c r="BE19" s="210">
        <f>IF(ISNUMBER(BB19/BA19),BB19/BA19, " - ")</f>
        <v>1.6588235294117648</v>
      </c>
      <c r="BF19" s="210">
        <f>IF(ISNUMBER(BC19/BA19),BC19/BA19, " - ")</f>
        <v>0.2257703081232493</v>
      </c>
      <c r="BG19" s="135">
        <f>IF(ISNUMBER((AY19+AZ19)/BA19),(AY19+AZ19)/BA19," - ")</f>
        <v>2.68375350140056</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bZ+UfAzFf/cuTg91iwO1ZcW3D7LZANNvgcH7PvhQDOOLf2+6Zz9kw1hgdpDy03cVbguM+Uk5TskK+bdxdJyFg==" saltValue="cx3fBbRohhCioSkfl5TK7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jNbC4qjxKaFi8HNCr+lU4qfPQw1oETJ+3W9Ll37nDSLGfX7KnzZEg81TvFQP3L3Hqx9EuId28Lnqi699CE0fg==" saltValue="FjWcO8AFczJcE4n05Lt0J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PONFERRADA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65</v>
      </c>
      <c r="O9" s="334"/>
      <c r="P9" s="334"/>
      <c r="Q9" s="226">
        <f>IF(ISNUMBER(Datos!P9),Datos!P9,0)</f>
        <v>596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214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24</v>
      </c>
      <c r="AI9" s="334" t="str">
        <f>IF(ISNUMBER(Datos!CD9),Datos!CD9,"-")</f>
        <v>-</v>
      </c>
      <c r="AJ9" s="334" t="str">
        <f>IF(ISNUMBER(Datos!EN9),Datos!EN9," - ")</f>
        <v xml:space="preserve"> - </v>
      </c>
      <c r="AK9" s="334"/>
      <c r="AL9" s="479"/>
      <c r="AM9" s="335">
        <f>IF(ISNUMBER(Datos!R9),Datos!R9," - ")</f>
        <v>5313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1024</v>
      </c>
      <c r="BD9" s="229">
        <f>IF(ISNUMBER(Datos!N9),Datos!N9," - ")</f>
        <v>529</v>
      </c>
      <c r="BE9" s="229" t="str">
        <f>IF(ISNUMBER(Datos!BW9),Datos!BW9," - ")</f>
        <v xml:space="preserve"> - </v>
      </c>
      <c r="BF9" s="228" t="str">
        <f>IF(ISNUMBER(Datos!BX9),Datos!BX9," - ")</f>
        <v xml:space="preserve"> - </v>
      </c>
      <c r="BG9" s="243">
        <f>IF(ISNUMBER(IF(J_V="SI",Datos!K9/Datos!J9,(Datos!K9+Datos!AA9)/(Datos!J9+Datos!Z9))),IF(J_V="SI",Datos!K9/Datos!J9,(Datos!K9+Datos!AA9)/(Datos!J9+Datos!Z9))," - ")</f>
        <v>1.0744630071599046</v>
      </c>
      <c r="BH9" s="260">
        <f>IF(ISNUMBER(((IF(J_V="SI",Datos!L9/Datos!K9,(Datos!L9+Datos!AB9)/(Datos!K9+Datos!AA9)))*11)/factor_trimestre),((IF(J_V="SI",Datos!L9/Datos!K9,(Datos!L9+Datos!AB9)/(Datos!K9+Datos!AA9)))*11)/factor_trimestre," - ")</f>
        <v>5.3789426921368282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7.7469073210302164E-2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26</v>
      </c>
      <c r="G10" s="333">
        <f>IF(ISNUMBER(Datos!I10),Datos!I10," - ")</f>
        <v>28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20</v>
      </c>
      <c r="AC10" s="226">
        <f>IF(ISNUMBER(Datos!Q10),Datos!Q10," - ")</f>
        <v>1</v>
      </c>
      <c r="AD10" s="334"/>
      <c r="AE10" s="484"/>
      <c r="AF10" s="332">
        <f>IF(ISNUMBER(Datos!L10),Datos!L10,"-")</f>
        <v>18</v>
      </c>
      <c r="AG10" s="334"/>
      <c r="AH10" s="334"/>
      <c r="AI10" s="334"/>
      <c r="AJ10" s="334"/>
      <c r="AK10" s="334"/>
      <c r="AL10" s="479"/>
      <c r="AM10" s="335">
        <f>IF(ISNUMBER(Datos!R10),Datos!R10," - ")</f>
        <v>55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7</v>
      </c>
      <c r="BE10" s="229" t="str">
        <f>IF(ISNUMBER(Datos!BW10),Datos!BW10," - ")</f>
        <v xml:space="preserve"> - </v>
      </c>
      <c r="BF10" s="228" t="str">
        <f>IF(ISNUMBER(Datos!BX10),Datos!BX10," - ")</f>
        <v xml:space="preserve"> - </v>
      </c>
      <c r="BG10" s="243">
        <f>IF(ISNUMBER(Datos!K10/Datos!J10),Datos!K10/Datos!J10," - ")</f>
        <v>1.6666666666666667</v>
      </c>
      <c r="BH10" s="260">
        <f>IF(ISNUMBER(((Datos!L10/Datos!K10)*11)/factor_trimestre),((Datos!L10/Datos!K10)*11)/factor_trimestre," - ")</f>
        <v>2.7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0.14583333333333334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1814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v>
      </c>
      <c r="BD12" s="229">
        <f>IF(ISNUMBER(Datos!N12),Datos!N12," - ")</f>
        <v>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17</v>
      </c>
      <c r="BH12" s="260">
        <f>IF(ISNUMBER(((IF(J_V="SI",Datos!L12/Datos!K12,(Datos!L12+Datos!AB12)/(Datos!K12+Datos!AA12)))*11)/factor_trimestre),((IF(J_V="SI",Datos!L12/Datos!K12,(Datos!L12+Datos!AB12)/(Datos!K12+Datos!AA12)))*11)/factor_trimestre," - ")</f>
        <v>5.6470588235294121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-1.8929150892374257E-2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26</v>
      </c>
      <c r="G13" s="898">
        <f t="shared" si="0"/>
        <v>28</v>
      </c>
      <c r="H13" s="899">
        <f t="shared" si="0"/>
        <v>0</v>
      </c>
      <c r="I13" s="898">
        <f t="shared" si="0"/>
        <v>0</v>
      </c>
      <c r="J13" s="867">
        <f t="shared" si="0"/>
        <v>0</v>
      </c>
      <c r="K13" s="867">
        <f t="shared" si="0"/>
        <v>0</v>
      </c>
      <c r="L13" s="899">
        <f t="shared" si="0"/>
        <v>0</v>
      </c>
      <c r="M13" s="899">
        <f t="shared" si="0"/>
        <v>0</v>
      </c>
      <c r="N13" s="899">
        <f t="shared" si="0"/>
        <v>65</v>
      </c>
      <c r="O13" s="900">
        <f t="shared" si="0"/>
        <v>0</v>
      </c>
      <c r="P13" s="900">
        <f t="shared" si="0"/>
        <v>0</v>
      </c>
      <c r="Q13" s="899">
        <f t="shared" si="0"/>
        <v>604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20</v>
      </c>
      <c r="AC13" s="899">
        <f t="shared" si="1"/>
        <v>250</v>
      </c>
      <c r="AD13" s="899">
        <f t="shared" si="1"/>
        <v>0</v>
      </c>
      <c r="AE13" s="899">
        <f t="shared" si="1"/>
        <v>0</v>
      </c>
      <c r="AF13" s="899">
        <f t="shared" si="1"/>
        <v>18</v>
      </c>
      <c r="AG13" s="899">
        <f t="shared" si="1"/>
        <v>0</v>
      </c>
      <c r="AH13" s="899">
        <f t="shared" si="1"/>
        <v>24</v>
      </c>
      <c r="AI13" s="899">
        <f t="shared" si="1"/>
        <v>0</v>
      </c>
      <c r="AJ13" s="899">
        <f t="shared" si="1"/>
        <v>0</v>
      </c>
      <c r="AK13" s="899">
        <f t="shared" si="1"/>
        <v>0</v>
      </c>
      <c r="AL13" s="899">
        <f t="shared" si="1"/>
        <v>0</v>
      </c>
      <c r="AM13" s="899">
        <f t="shared" si="1"/>
        <v>7182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1039</v>
      </c>
      <c r="BD13" s="899">
        <f t="shared" si="1"/>
        <v>542</v>
      </c>
      <c r="BE13" s="899">
        <f t="shared" si="1"/>
        <v>0</v>
      </c>
      <c r="BF13" s="899">
        <f t="shared" si="1"/>
        <v>0</v>
      </c>
      <c r="BG13" s="899">
        <f>IF(ISNUMBER(Datos!K13/Datos!J13),Datos!K13/Datos!J13," - ")</f>
        <v>1.0841899167890356</v>
      </c>
      <c r="BH13" s="903">
        <f>IF(ISNUMBER(((Datos!L13/Datos!K13)*11)/factor_trimestre),((Datos!L13/Datos!K13)*11)/factor_trimestre," - ")</f>
        <v>5.5015801354401805</v>
      </c>
      <c r="BI13" s="899">
        <f>IF(ISNUMBER('Resol  Asuntos'!D13/NºAsuntos!G13),'Resol  Asuntos'!D13/NºAsuntos!G13," - ")</f>
        <v>0.45410839160839161</v>
      </c>
      <c r="BJ13" s="899" t="str">
        <f>IF(ISNUMBER(Datos!CI13/Datos!CJ13),Datos!CI13/Datos!CJ13," - ")</f>
        <v xml:space="preserve"> - </v>
      </c>
      <c r="BK13" s="899">
        <f>SUBTOTAL(9,BK8:BK12)</f>
        <v>0</v>
      </c>
      <c r="BL13" s="899">
        <f>IF(ISNUMBER((I13-AB13+L13)/(F13)),(I13-AB13+L13)/(F13)," - ")</f>
        <v>-0.76923076923076927</v>
      </c>
      <c r="BM13" s="904">
        <f>SUBTOTAL(9,BM9:BM12)</f>
        <v>0.20437325565126124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2179</v>
      </c>
      <c r="G15" s="598">
        <f>IF(ISNUMBER(IF(D_I="SI",Datos!I15,Datos!I15+Datos!AC15)),IF(D_I="SI",Datos!I15,Datos!I15+Datos!AC15)," - ")</f>
        <v>2081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1596</v>
      </c>
      <c r="AC15" s="226">
        <f>IF(ISNUMBER(Datos!Q15),Datos!Q15," - ")</f>
        <v>62</v>
      </c>
      <c r="AD15" s="334"/>
      <c r="AE15" s="484"/>
      <c r="AF15" s="596">
        <f>IF(ISNUMBER(IF(D_I="SI",Datos!L15,Datos!L15+Datos!AF15)),IF(D_I="SI",Datos!L15,Datos!L15+Datos!AF15)," - ")</f>
        <v>2200</v>
      </c>
      <c r="AG15" s="334"/>
      <c r="AH15" s="334"/>
      <c r="AI15" s="334"/>
      <c r="AJ15" s="334"/>
      <c r="AK15" s="334"/>
      <c r="AL15" s="479"/>
      <c r="AM15" s="335">
        <f>IF(ISNUMBER(Datos!R15),Datos!R15," - ")</f>
        <v>253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208</v>
      </c>
      <c r="BD15" s="229">
        <f>IF(ISNUMBER(Datos!N15),Datos!N15," - ")</f>
        <v>913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0.98701298701298701</v>
      </c>
      <c r="BH15" s="260">
        <f>IF(ISNUMBER(((IF(D_I="SI",Datos!L15/Datos!K15,(Datos!L15+Datos!AF15)/(Datos!K15+Datos!AE15)))*11)/factor_trimestre),((IF(D_I="SI",Datos!L15/Datos!K15,(Datos!L15+Datos!AF15)/(Datos!K15+Datos!AE15)))*11)/factor_trimestre," - ")</f>
        <v>4.1353383458646622</v>
      </c>
      <c r="BI15" s="243">
        <f>IF(ISNUMBER('Resol  Asuntos'!D15/NºAsuntos!G15),'Resol  Asuntos'!D15/NºAsuntos!G15," - ")</f>
        <v>0.13032581453634084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171</v>
      </c>
      <c r="G16" s="598">
        <f>IF(ISNUMBER(IF(D_I="SI",Datos!I16,Datos!I16+Datos!AC16)),IF(D_I="SI",Datos!I16,Datos!I16+Datos!AC16)," - ")</f>
        <v>171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v>
      </c>
      <c r="AC16" s="226">
        <f>IF(ISNUMBER(Datos!Q16),Datos!Q16," - ")</f>
        <v>0</v>
      </c>
      <c r="AD16" s="334"/>
      <c r="AE16" s="484"/>
      <c r="AF16" s="596">
        <f>IF(ISNUMBER(IF(D_I="SI",Datos!L16,Datos!L16+Datos!AF16)),IF(D_I="SI",Datos!L16,Datos!L16+Datos!AF16)," - ")</f>
        <v>152</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4.166666666666667</v>
      </c>
      <c r="BH16" s="260">
        <f>IF(ISNUMBER(((IF(D_I="SI",Datos!L16/Datos!K16,(Datos!L16+Datos!AF16)/(Datos!K16+Datos!AE16)))*11)/factor_trimestre),((IF(D_I="SI",Datos!L16/Datos!K16,(Datos!L16+Datos!AF16)/(Datos!K16+Datos!AE16)))*11)/factor_trimestre," - ")</f>
        <v>18.239999999999998</v>
      </c>
      <c r="BI16" s="243">
        <f>IF(ISNUMBER('Resol  Asuntos'!D16/NºAsuntos!G16),'Resol  Asuntos'!D16/NºAsuntos!G16," - ")</f>
        <v>0</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118</v>
      </c>
      <c r="AC17" s="226">
        <f>IF(ISNUMBER(Datos!Q17),Datos!Q17," - ")</f>
        <v>1</v>
      </c>
      <c r="AD17" s="334"/>
      <c r="AE17" s="484"/>
      <c r="AF17" s="332">
        <f>IF(ISNUMBER(Datos!L17),Datos!L17,"-")</f>
        <v>275</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59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0.70658682634730541</v>
      </c>
      <c r="BH17" s="260">
        <f>IF(ISNUMBER(((IF(D_I="SI",Datos!L17/Datos!K17,(Datos!L17+Datos!AF17)/(Datos!K17+Datos!AE17)))*11)/factor_trimestre),((IF(D_I="SI",Datos!L17/Datos!K17,(Datos!L17+Datos!AF17)/(Datos!K17+Datos!AE17)))*11)/factor_trimestre," - ")</f>
        <v>6.991525423728814</v>
      </c>
      <c r="BI17" s="243">
        <f>IF(ISNUMBER('Resol  Asuntos'!D17/NºAsuntos!G17),'Resol  Asuntos'!D17/NºAsuntos!G17," - ")</f>
        <v>8.4745762711864403E-2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2350</v>
      </c>
      <c r="G18" s="898">
        <f>SUBTOTAL(9,G15:G17)</f>
        <v>2478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1739</v>
      </c>
      <c r="AC18" s="899">
        <f t="shared" si="4"/>
        <v>63</v>
      </c>
      <c r="AD18" s="899">
        <f t="shared" si="4"/>
        <v>0</v>
      </c>
      <c r="AE18" s="899">
        <f t="shared" si="4"/>
        <v>0</v>
      </c>
      <c r="AF18" s="899">
        <f t="shared" si="4"/>
        <v>2627</v>
      </c>
      <c r="AG18" s="899">
        <f t="shared" si="4"/>
        <v>0</v>
      </c>
      <c r="AH18" s="899">
        <f t="shared" si="4"/>
        <v>0</v>
      </c>
      <c r="AI18" s="899">
        <f t="shared" si="4"/>
        <v>0</v>
      </c>
      <c r="AJ18" s="899">
        <f t="shared" si="4"/>
        <v>0</v>
      </c>
      <c r="AK18" s="899">
        <f t="shared" si="4"/>
        <v>0</v>
      </c>
      <c r="AL18" s="899">
        <f t="shared" si="4"/>
        <v>0</v>
      </c>
      <c r="AM18" s="899">
        <f t="shared" si="4"/>
        <v>258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218</v>
      </c>
      <c r="BD18" s="899">
        <f t="shared" si="4"/>
        <v>979</v>
      </c>
      <c r="BE18" s="899">
        <f t="shared" si="4"/>
        <v>0</v>
      </c>
      <c r="BF18" s="899">
        <f t="shared" si="4"/>
        <v>0</v>
      </c>
      <c r="BG18" s="899">
        <f>IF(ISNUMBER(Datos!K18/Datos!J18),Datos!K18/Datos!J18," - ")</f>
        <v>0.9715083798882681</v>
      </c>
      <c r="BH18" s="903">
        <f>IF(ISNUMBER(((Datos!L18/Datos!K18)*11)/factor_trimestre),((Datos!L18/Datos!K18)*11)/factor_trimestre," - ")</f>
        <v>4.5319148936170217</v>
      </c>
      <c r="BI18" s="899">
        <f>SUBTOTAL(9,BI15:BI17)</f>
        <v>0.21507157724820525</v>
      </c>
      <c r="BJ18" s="899">
        <f>SUBTOTAL(9,BJ15:BJ17)</f>
        <v>0</v>
      </c>
      <c r="BK18" s="899">
        <f>SUBTOTAL(9,BK15:BK17)</f>
        <v>0</v>
      </c>
      <c r="BL18" s="899">
        <f>IF(ISNUMBER((I18-AB18+L18)/(F18)),(I18-AB18+L18)/(F18)," - ")</f>
        <v>-0.74</v>
      </c>
      <c r="BM18" s="905">
        <f>IF(ISNUMBER((Datos!P18-Datos!Q18)/(Datos!R18-Datos!P18+Datos!Q18)),(Datos!P18-Datos!Q18)/(Datos!R18-Datos!P18+Datos!Q18)," - ")</f>
        <v>3.2000000000000001E-2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9</v>
      </c>
      <c r="F19" s="820">
        <f t="shared" si="6"/>
        <v>2376</v>
      </c>
      <c r="G19" s="820">
        <f t="shared" si="6"/>
        <v>2506</v>
      </c>
      <c r="H19" s="822">
        <f t="shared" si="6"/>
        <v>0</v>
      </c>
      <c r="I19" s="820">
        <f t="shared" si="6"/>
        <v>0</v>
      </c>
      <c r="J19" s="822">
        <f t="shared" si="6"/>
        <v>0</v>
      </c>
      <c r="K19" s="822">
        <f t="shared" si="6"/>
        <v>0</v>
      </c>
      <c r="L19" s="881">
        <f t="shared" si="6"/>
        <v>0</v>
      </c>
      <c r="M19" s="881">
        <f t="shared" si="6"/>
        <v>0</v>
      </c>
      <c r="N19" s="881">
        <f t="shared" si="6"/>
        <v>65</v>
      </c>
      <c r="O19" s="881">
        <f t="shared" si="6"/>
        <v>0</v>
      </c>
      <c r="P19" s="881">
        <f t="shared" si="6"/>
        <v>0</v>
      </c>
      <c r="Q19" s="822">
        <f t="shared" si="6"/>
        <v>675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1759</v>
      </c>
      <c r="AC19" s="821">
        <f t="shared" si="7"/>
        <v>313</v>
      </c>
      <c r="AD19" s="821">
        <f t="shared" si="7"/>
        <v>0</v>
      </c>
      <c r="AE19" s="821">
        <f t="shared" si="7"/>
        <v>0</v>
      </c>
      <c r="AF19" s="828">
        <f t="shared" si="7"/>
        <v>2645</v>
      </c>
      <c r="AG19" s="828">
        <f t="shared" si="7"/>
        <v>0</v>
      </c>
      <c r="AH19" s="828">
        <f t="shared" si="7"/>
        <v>24</v>
      </c>
      <c r="AI19" s="828">
        <f t="shared" si="7"/>
        <v>0</v>
      </c>
      <c r="AJ19" s="821">
        <f t="shared" si="7"/>
        <v>0</v>
      </c>
      <c r="AK19" s="828">
        <f t="shared" si="7"/>
        <v>0</v>
      </c>
      <c r="AL19" s="828">
        <f t="shared" si="7"/>
        <v>0</v>
      </c>
      <c r="AM19" s="828">
        <f t="shared" si="7"/>
        <v>7440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1257</v>
      </c>
      <c r="BD19" s="820">
        <f t="shared" si="7"/>
        <v>1521</v>
      </c>
      <c r="BE19" s="820">
        <f t="shared" si="7"/>
        <v>0</v>
      </c>
      <c r="BF19" s="830">
        <f t="shared" si="7"/>
        <v>0</v>
      </c>
      <c r="BG19" s="915">
        <f>IF(ISNUMBER(Datos!K19/Datos!J19),Datos!K19/Datos!J19," - ")</f>
        <v>1.0315679624315157</v>
      </c>
      <c r="BH19" s="915">
        <f>IF(ISNUMBER(((Datos!L19/Datos!K19)*11)/factor_trimestre),((Datos!L19/Datos!K19)*11)/factor_trimestre," - ")</f>
        <v>5.0751138088012144</v>
      </c>
      <c r="BI19" s="813">
        <f>IF(ISNUMBER(Datos!J19/Datos!I19),Datos!J19/Datos!I19," - ")</f>
        <v>0.56726357851117359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-0.74031986531986527</v>
      </c>
      <c r="BM19" s="889">
        <f>IF(ISNUMBER((Datos!P19-Datos!Q19+R19)/(Datos!R19-Datos!P19+Datos!Q19-R19)),(Datos!P19-Datos!Q19+R19)/(Datos!R19-Datos!P19+Datos!Q19-R19)," - ")</f>
        <v>5.1144391070923993E-2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835.33333333333337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1202.5840095394583</v>
      </c>
      <c r="G21" s="552">
        <f>IF(ISNUMBER(STDEV(G8:G18)),STDEV(G8:G18),"-")</f>
        <v>1128.3828546493723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839.51954513678038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451.83396128603323</v>
      </c>
      <c r="BD21" s="551"/>
      <c r="BE21" s="551">
        <f>IF(ISNUMBER(STDEV(BE8:BE18)),STDEV(BE8:BE18),"-")</f>
        <v>0</v>
      </c>
      <c r="BF21" s="556">
        <f>IF(ISNUMBER(STDEV(BF8:BF18)),STDEV(BF8:BF18),"-")</f>
        <v>0</v>
      </c>
      <c r="BG21" s="775">
        <f>IF(ISNUMBER(STDEV(BG8:BG18)),STDEV(BG8:BG18),"-")</f>
        <v>5.5840558269505918</v>
      </c>
      <c r="BH21" s="776">
        <f>IF(ISNUMBER(STDEV(BH8:BH18)),STDEV(BH8:BH18),"-")</f>
        <v>4.8520498670436476</v>
      </c>
      <c r="BI21" s="249">
        <f>IF(ISNUMBER(STDEV(BI8:BI18)),STDEV(BI8:BI18),"-")</f>
        <v>0.17339025170379446</v>
      </c>
      <c r="BJ21" s="230" t="str">
        <f>IF(ISNUMBER(BL21/BM21),BL21/BM21," - ")</f>
        <v xml:space="preserve"> - </v>
      </c>
      <c r="BK21" s="575"/>
      <c r="BL21" s="559">
        <f>IF(ISNUMBER(STDEV(BL8:BL18)),STDEV(BL8:BL18),"-")</f>
        <v>2.0669275142376042E-2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AdhMEWYIExDoptw8mN5MhlqHiZFWIrufFPDJSU+pa0olXXEXnHH/KvMhsfSgmPeYJfbxo581Uxs4dFj95v4wzQ==" saltValue="16S9mn1N3mAuC2tnD+ZBM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PONFERRADA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596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214</v>
      </c>
      <c r="AA9" s="332" t="str">
        <f>IF(ISNUMBER(IF(J_V="SI",Datos!L9,Datos!L9+Datos!AB9)-IF(Monitorios="SI",Datos!CD9,0)),
                          IF(J_V="SI",Datos!L9,Datos!L9+Datos!AB9)-IF(Monitorios="SI",Datos!CD9,0),
                          " - ")</f>
        <v xml:space="preserve"> - </v>
      </c>
      <c r="AB9" s="334"/>
      <c r="AC9" s="334"/>
      <c r="AD9" s="484"/>
      <c r="AE9" s="484">
        <f>IF(ISNUMBER(Datos!R9),Datos!R9," - ")</f>
        <v>5313</v>
      </c>
      <c r="AF9" s="229" t="str">
        <f>IF(ISNUMBER(Datos!BV9),Datos!BV9," - ")</f>
        <v xml:space="preserve"> - </v>
      </c>
      <c r="AG9" s="225" t="str">
        <f>IF(ISNUMBER(Datos!DV9),Datos!DV9," - ")</f>
        <v xml:space="preserve"> - </v>
      </c>
      <c r="AH9" s="298"/>
      <c r="AI9" s="227"/>
      <c r="AJ9" s="225">
        <f>IF(ISNUMBER(Datos!M9),Datos!M9," - ")</f>
        <v>1024</v>
      </c>
      <c r="AK9" s="229">
        <f>IF(ISNUMBER(Datos!N9),Datos!N9," - ")</f>
        <v>529</v>
      </c>
      <c r="AL9" s="229" t="str">
        <f>IF(ISNUMBER(Datos!BW9),Datos!BW9," - ")</f>
        <v xml:space="preserve"> - </v>
      </c>
      <c r="AM9" s="228" t="str">
        <f>IF(ISNUMBER(Datos!BX9),Datos!BX9," - ")</f>
        <v xml:space="preserve"> - </v>
      </c>
      <c r="AN9" s="243"/>
      <c r="AO9" s="260">
        <f>IF(ISNUMBER(((NºAsuntos!I9/NºAsuntos!G9)*11)/factor_trimestre),((NºAsuntos!I9/NºAsuntos!G9)*11)/factor_trimestre," - ")</f>
        <v>5.3789426921368282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7.7469073210302164E-2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26</v>
      </c>
      <c r="G10" s="225">
        <f>IF(ISNUMBER(Datos!I10),Datos!I10," - ")</f>
        <v>28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20</v>
      </c>
      <c r="Z10" s="619">
        <f>IF(ISNUMBER(Datos!Q10),Datos!Q10," - ")</f>
        <v>1</v>
      </c>
      <c r="AA10" s="332">
        <f>IF(ISNUMBER(Datos!L10),Datos!L10,"-")</f>
        <v>18</v>
      </c>
      <c r="AB10" s="334"/>
      <c r="AC10" s="334"/>
      <c r="AD10" s="484"/>
      <c r="AE10" s="484">
        <f>IF(ISNUMBER(Datos!R10),Datos!R10," - ")</f>
        <v>55</v>
      </c>
      <c r="AF10" s="229" t="str">
        <f>IF(ISNUMBER(Datos!BV10),Datos!BV10," - ")</f>
        <v xml:space="preserve"> - </v>
      </c>
      <c r="AG10" s="225" t="str">
        <f>IF(ISNUMBER(Datos!DV10),Datos!DV10," - ")</f>
        <v xml:space="preserve"> - </v>
      </c>
      <c r="AH10" s="298"/>
      <c r="AI10" s="227"/>
      <c r="AJ10" s="225">
        <f>IF(ISNUMBER(Datos!M10),Datos!M10," - ")</f>
        <v>9</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0.14583333333333334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35</v>
      </c>
      <c r="AA12" s="332" t="str">
        <f>IF(ISNUMBER(IF(J_V="SI",Datos!L12,Datos!L12+Datos!AB12)-IF(Monitorios="SI",Datos!CD12,0)),
                          IF(J_V="SI",Datos!L12,Datos!L12+Datos!AB12)-IF(Monitorios="SI",Datos!CD12,0),
                          " - ")</f>
        <v xml:space="preserve"> - </v>
      </c>
      <c r="AB12" s="334"/>
      <c r="AC12" s="334"/>
      <c r="AD12" s="484"/>
      <c r="AE12" s="484">
        <f>IF(ISNUMBER(Datos!R12),Datos!R12," - ")</f>
        <v>1814</v>
      </c>
      <c r="AF12" s="229" t="str">
        <f>IF(ISNUMBER(Datos!BV12),Datos!BV12," - ")</f>
        <v xml:space="preserve"> - </v>
      </c>
      <c r="AG12" s="225" t="str">
        <f>IF(ISNUMBER(Datos!DV12),Datos!DV12," - ")</f>
        <v xml:space="preserve"> - </v>
      </c>
      <c r="AH12" s="298"/>
      <c r="AI12" s="227"/>
      <c r="AJ12" s="225">
        <f>IF(ISNUMBER(Datos!M12),Datos!M12," - ")</f>
        <v>6</v>
      </c>
      <c r="AK12" s="229">
        <f>IF(ISNUMBER(Datos!N12),Datos!N12," - ")</f>
        <v>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5.6470588235294121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-1.8929150892374257E-2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26</v>
      </c>
      <c r="G13" s="898">
        <f>SUBTOTAL(9,G8:G12)</f>
        <v>28</v>
      </c>
      <c r="H13" s="908"/>
      <c r="I13" s="898">
        <f t="shared" ref="I13:N13" si="0">SUBTOTAL(9,I8:I12)</f>
        <v>0</v>
      </c>
      <c r="J13" s="867">
        <f t="shared" si="0"/>
        <v>0</v>
      </c>
      <c r="K13" s="908">
        <f t="shared" si="0"/>
        <v>0</v>
      </c>
      <c r="L13" s="908">
        <f t="shared" si="0"/>
        <v>0</v>
      </c>
      <c r="M13" s="908">
        <f t="shared" si="0"/>
        <v>0</v>
      </c>
      <c r="N13" s="908">
        <f t="shared" si="0"/>
        <v>604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20</v>
      </c>
      <c r="Z13" s="907">
        <f t="shared" si="2"/>
        <v>250</v>
      </c>
      <c r="AA13" s="900">
        <f t="shared" si="2"/>
        <v>18</v>
      </c>
      <c r="AB13" s="900">
        <f t="shared" si="2"/>
        <v>0</v>
      </c>
      <c r="AC13" s="900">
        <f t="shared" si="2"/>
        <v>0</v>
      </c>
      <c r="AD13" s="900">
        <f t="shared" si="2"/>
        <v>0</v>
      </c>
      <c r="AE13" s="900">
        <f t="shared" si="2"/>
        <v>7182</v>
      </c>
      <c r="AF13" s="908">
        <f t="shared" si="2"/>
        <v>0</v>
      </c>
      <c r="AG13" s="908">
        <f t="shared" si="2"/>
        <v>0</v>
      </c>
      <c r="AH13" s="908">
        <f t="shared" si="2"/>
        <v>0</v>
      </c>
      <c r="AI13" s="908">
        <f t="shared" si="2"/>
        <v>0</v>
      </c>
      <c r="AJ13" s="908">
        <f t="shared" si="2"/>
        <v>1039</v>
      </c>
      <c r="AK13" s="908">
        <f t="shared" si="2"/>
        <v>542</v>
      </c>
      <c r="AL13" s="908">
        <f t="shared" si="2"/>
        <v>0</v>
      </c>
      <c r="AM13" s="908">
        <f t="shared" si="2"/>
        <v>0</v>
      </c>
      <c r="AN13" s="908">
        <f t="shared" si="2"/>
        <v>0</v>
      </c>
      <c r="AO13" s="904">
        <f>IF(ISNUMBER(((NºAsuntos!I13/NºAsuntos!G13)*11)/factor_trimestre),((NºAsuntos!I13/NºAsuntos!G13)*11)/factor_trimestre," - ")</f>
        <v>5.3575174825174834</v>
      </c>
      <c r="AP13" s="910" t="str">
        <f>IF(ISNUMBER(Datos!CI13/Datos!CJ13),Datos!CI13/Datos!CJ13," - ")</f>
        <v xml:space="preserve"> - </v>
      </c>
      <c r="AQ13" s="928">
        <f t="shared" ref="AQ13:AV13" si="3">SUBTOTAL(9,AQ9:AQ12)</f>
        <v>0</v>
      </c>
      <c r="AR13" s="928">
        <f t="shared" si="3"/>
        <v>0.20437325565126124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2179</v>
      </c>
      <c r="G15" s="225">
        <f>IF(ISNUMBER(IF(D_I="SI",Datos!I15,Datos!I15+Datos!AC15)),IF(D_I="SI",Datos!I15,Datos!I15+Datos!AC15)," - ")</f>
        <v>2081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1596</v>
      </c>
      <c r="Z15" s="619">
        <f>IF(ISNUMBER(Datos!Q15),Datos!Q15," - ")</f>
        <v>62</v>
      </c>
      <c r="AA15" s="332">
        <f>IF(ISNUMBER(IF(D_I="SI",Datos!L15,Datos!L15+Datos!AF15)),IF(D_I="SI",Datos!L15,Datos!L15+Datos!AF15)," - ")</f>
        <v>2200</v>
      </c>
      <c r="AB15" s="334"/>
      <c r="AC15" s="334"/>
      <c r="AD15" s="484"/>
      <c r="AE15" s="484">
        <f>IF(ISNUMBER(Datos!R15),Datos!R15," - ")</f>
        <v>253</v>
      </c>
      <c r="AF15" s="229" t="str">
        <f>IF(ISNUMBER(Datos!BV15),Datos!BV15," - ")</f>
        <v xml:space="preserve"> - </v>
      </c>
      <c r="AG15" s="225"/>
      <c r="AH15" s="298"/>
      <c r="AI15" s="227"/>
      <c r="AJ15" s="225">
        <f>IF(ISNUMBER(Datos!M15),Datos!M15," - ")</f>
        <v>208</v>
      </c>
      <c r="AK15" s="229">
        <f>IF(ISNUMBER(Datos!N15),Datos!N15," - ")</f>
        <v>913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4.1353383458646622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171</v>
      </c>
      <c r="G16" s="225">
        <f>IF(ISNUMBER(IF(D_I="SI",Datos!I16,Datos!I16+Datos!AC16)),IF(D_I="SI",Datos!I16,Datos!I16+Datos!AC16)," - ")</f>
        <v>171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v>
      </c>
      <c r="Z16" s="619">
        <f>IF(ISNUMBER(Datos!Q16),Datos!Q16," - ")</f>
        <v>0</v>
      </c>
      <c r="AA16" s="332">
        <f>IF(ISNUMBER(IF(D_I="SI",Datos!L16,Datos!L16+Datos!AF16)),IF(D_I="SI",Datos!L16,Datos!L16+Datos!AF16)," - ")</f>
        <v>152</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18.239999999999998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118</v>
      </c>
      <c r="Z17" s="619">
        <f>IF(ISNUMBER(Datos!Q17),Datos!Q17," - ")</f>
        <v>1</v>
      </c>
      <c r="AA17" s="332">
        <f>IF(ISNUMBER(Datos!L17),Datos!L17,"-")</f>
        <v>275</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10</v>
      </c>
      <c r="AK17" s="229">
        <f>IF(ISNUMBER(Datos!N17),Datos!N17," - ")</f>
        <v>59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6.991525423728814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2350</v>
      </c>
      <c r="G18" s="898">
        <f>SUBTOTAL(9,G15:G17)</f>
        <v>2478</v>
      </c>
      <c r="H18" s="932">
        <f>SUBTOTAL(9,H15:H17)</f>
        <v>0</v>
      </c>
      <c r="I18" s="911">
        <f>SUBTOTAL(9,I15:I17)</f>
        <v>0</v>
      </c>
      <c r="J18" s="867">
        <f>SUBTOTAL(9,J14:J17)</f>
        <v>0</v>
      </c>
      <c r="K18" s="932">
        <f t="shared" ref="K18:S18" si="4">SUBTOTAL(9,K15:K17)</f>
        <v>0</v>
      </c>
      <c r="L18" s="932">
        <f t="shared" si="4"/>
        <v>0</v>
      </c>
      <c r="M18" s="932">
        <f t="shared" si="4"/>
        <v>0</v>
      </c>
      <c r="N18" s="932">
        <f t="shared" si="4"/>
        <v>71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1739</v>
      </c>
      <c r="Z18" s="932">
        <f t="shared" si="5"/>
        <v>63</v>
      </c>
      <c r="AA18" s="932">
        <f t="shared" si="5"/>
        <v>2627</v>
      </c>
      <c r="AB18" s="932">
        <f t="shared" si="5"/>
        <v>0</v>
      </c>
      <c r="AC18" s="932">
        <f t="shared" si="5"/>
        <v>0</v>
      </c>
      <c r="AD18" s="932">
        <f t="shared" si="5"/>
        <v>0</v>
      </c>
      <c r="AE18" s="932">
        <f t="shared" si="5"/>
        <v>258</v>
      </c>
      <c r="AF18" s="932">
        <f t="shared" si="5"/>
        <v>0</v>
      </c>
      <c r="AG18" s="932">
        <f t="shared" si="5"/>
        <v>0</v>
      </c>
      <c r="AH18" s="932">
        <f t="shared" si="5"/>
        <v>0</v>
      </c>
      <c r="AI18" s="932">
        <f t="shared" si="5"/>
        <v>0</v>
      </c>
      <c r="AJ18" s="932">
        <f t="shared" si="5"/>
        <v>218</v>
      </c>
      <c r="AK18" s="932">
        <f t="shared" si="5"/>
        <v>979</v>
      </c>
      <c r="AL18" s="932">
        <f t="shared" si="5"/>
        <v>0</v>
      </c>
      <c r="AM18" s="932">
        <f t="shared" si="5"/>
        <v>0</v>
      </c>
      <c r="AN18" s="932">
        <f t="shared" si="5"/>
        <v>0</v>
      </c>
      <c r="AO18" s="934">
        <f>IF(ISNUMBER(((NºAsuntos!I18/NºAsuntos!G18)*11)/factor_trimestre),((NºAsuntos!I18/NºAsuntos!G18)*11)/factor_trimestre," - ")</f>
        <v>4.5319148936170217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2376</v>
      </c>
      <c r="G19" s="820">
        <f t="shared" si="7"/>
        <v>2506</v>
      </c>
      <c r="H19" s="821">
        <f t="shared" si="7"/>
        <v>0</v>
      </c>
      <c r="I19" s="820">
        <f t="shared" si="7"/>
        <v>0</v>
      </c>
      <c r="J19" s="822">
        <f t="shared" si="7"/>
        <v>0</v>
      </c>
      <c r="K19" s="820">
        <f t="shared" si="7"/>
        <v>0</v>
      </c>
      <c r="L19" s="823">
        <f t="shared" si="7"/>
        <v>0</v>
      </c>
      <c r="M19" s="820">
        <f t="shared" si="7"/>
        <v>0</v>
      </c>
      <c r="N19" s="821">
        <f t="shared" si="7"/>
        <v>675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1759</v>
      </c>
      <c r="Z19" s="827">
        <f t="shared" si="8"/>
        <v>313</v>
      </c>
      <c r="AA19" s="828">
        <f t="shared" si="8"/>
        <v>2645</v>
      </c>
      <c r="AB19" s="828">
        <f t="shared" si="8"/>
        <v>0</v>
      </c>
      <c r="AC19" s="828">
        <f t="shared" si="8"/>
        <v>0</v>
      </c>
      <c r="AD19" s="829">
        <f t="shared" si="8"/>
        <v>0</v>
      </c>
      <c r="AE19" s="829">
        <f t="shared" si="8"/>
        <v>7440</v>
      </c>
      <c r="AF19" s="830">
        <f t="shared" si="8"/>
        <v>0</v>
      </c>
      <c r="AG19" s="831">
        <f t="shared" si="8"/>
        <v>0</v>
      </c>
      <c r="AH19" s="832">
        <f t="shared" si="8"/>
        <v>0</v>
      </c>
      <c r="AI19" s="830">
        <f t="shared" si="8"/>
        <v>0</v>
      </c>
      <c r="AJ19" s="820">
        <f t="shared" si="8"/>
        <v>1257</v>
      </c>
      <c r="AK19" s="820">
        <f t="shared" si="8"/>
        <v>1521</v>
      </c>
      <c r="AL19" s="820">
        <f t="shared" si="8"/>
        <v>0</v>
      </c>
      <c r="AM19" s="833">
        <f t="shared" si="8"/>
        <v>0</v>
      </c>
      <c r="AN19" s="823">
        <f>IF(ISNUMBER(Datos!K19/Datos!J19),Datos!K19/Datos!J19," - ")</f>
        <v>1.0315679624315157</v>
      </c>
      <c r="AO19" s="823">
        <f>IF(ISNUMBER(FIND("06",Criterios!A8,1)),(IF(ISNUMBER(((Datos!R19/Datos!Q19)*11)/factor_trimestre),((Datos!R19/Datos!Q19)*11)/factor_trimestre," - ")),(IF(ISNUMBER(((Datos!L19/Datos!K19)*11)/factor_trimestre),((Datos!L19/Datos!K19)*11)/factor_trimestre," - ")))</f>
        <v>5.0751138088012144</v>
      </c>
      <c r="AP19" s="834" t="str">
        <f>IF(ISNUMBER(Datos!CI19/Datos!CJ19),Datos!CI19/Datos!CJ19," - ")</f>
        <v xml:space="preserve"> - </v>
      </c>
      <c r="AQ19" s="834">
        <f>IF(OR(ISNUMBER(FIND("01",Criterios!A8,1)),ISNUMBER(FIND("02",Criterios!A8,1)),ISNUMBER(FIND("03",Criterios!A8,1)),ISNUMBER(FIND("04",Criterios!A8,1))),(J19-Y19+K19)/(F19-K19),(I19-Y19+K19)/(F19-K19))</f>
        <v>-0.74031986531986527</v>
      </c>
      <c r="AR19" s="834">
        <f>IF(ISNUMBER((Datos!P19-Datos!Q19+O19)/(Datos!R19-Datos!P19+Datos!Q19-O19)),(Datos!P19-Datos!Q19+O19)/(Datos!R19-Datos!P19+Datos!Q19-O19)," - ")</f>
        <v>5.1144391070923993E-2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835.33333333333337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1202.5840095394583</v>
      </c>
      <c r="G21" s="552">
        <f>IF(ISNUMBER(STDEV(G8:G18)),STDEV(G8:G18),"-")</f>
        <v>1128.3828546493723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451.83396128603323</v>
      </c>
      <c r="AK21" s="252"/>
      <c r="AL21" s="252">
        <f>IF(ISNUMBER(STDEV(AL8:AL18)),STDEV(AL8:AL18),"-")</f>
        <v>0</v>
      </c>
      <c r="AM21" s="254">
        <f>IF(ISNUMBER(STDEV(AM8:AM18)),STDEV(AM8:AM18),"-")</f>
        <v>0</v>
      </c>
      <c r="AN21" s="539">
        <f>IF(ISNUMBER(STDEV(AN8:AN18)),STDEV(AN8:AN18),"-")</f>
        <v>0</v>
      </c>
      <c r="AO21" s="540">
        <f>IF(ISNUMBER(STDEV(AO8:AO18)),STDEV(AO8:AO18),"-")</f>
        <v>4.8571466024010803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3Qrqxv8sJiGBb0oksy3yFjZY2JagLBDWbFTFD2YzL2Y0JJorPR6MQwvscLXARCMLrBDxcWBurnCUStY/ZJMGYg==" saltValue="SshtlFuLbbbVwwj8eEJZi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AQcVvMCEqDt81OCfgibMEuM0ecsqAJBdq7FcpTdcM7Ur0PIaoa/Me6dQeSDwRKhW+wA0ixblf+R+LlFl5FE+g==" saltValue="GMT2eUDiUmvg1xb3evliB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Mo6Rvw75LBMPn4uYPGKE7XED2rPZ9+BgOVgV3PDGMK2TI+vykpFHvDeSEdadRNtNARvH8O185hsmZUx9Cl1qQ==" saltValue="YyHCCpwUvdIEUb16xMPLI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PONFERRADA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0.45410839160839161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0.32110312310000999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sJW83NA9mqCl7hX+pTn8qSrGZ16dzYSf2eCVGVASvTQ6WJUsBbLkCWgv50Xl3+fT9D++/qKXaQ53sZq39/z49Q==" saltValue="wDB2WPsk3pJ3m6Q+WUfGA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FvPZjJoLbHwJW70ayz49LuaHKSotz5cJxa0K9xeAuJSWM9KgLED9roINIicXa1OmHfPn6iRYnVCaRiy1OwJB+A==" saltValue="JZSMSZuw4HqhEY4mI3yzM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PONFERRADA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26</v>
      </c>
      <c r="G10" s="684">
        <f>IF(ISNUMBER(Datos!I10),Datos!I10," - ")</f>
        <v>28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20</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2.7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1814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v>
      </c>
      <c r="AM12" s="690">
        <f>IF(ISNUMBER(Datos!N12+DatosP!N16),Datos!N12+DatosP!N16," - ")</f>
        <v>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5.6470588235294121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-1.8929150892374257E-2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26</v>
      </c>
      <c r="G13" s="938">
        <f t="shared" si="0"/>
        <v>28</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20</v>
      </c>
      <c r="AC13" s="939">
        <f t="shared" si="1"/>
        <v>0</v>
      </c>
      <c r="AD13" s="939">
        <f t="shared" si="1"/>
        <v>35</v>
      </c>
      <c r="AE13" s="939">
        <f t="shared" si="1"/>
        <v>0</v>
      </c>
      <c r="AF13" s="939">
        <f t="shared" si="1"/>
        <v>18</v>
      </c>
      <c r="AG13" s="939">
        <f t="shared" si="1"/>
        <v>0</v>
      </c>
      <c r="AH13" s="939">
        <f t="shared" si="1"/>
        <v>1814</v>
      </c>
      <c r="AI13" s="939">
        <f t="shared" si="1"/>
        <v>0</v>
      </c>
      <c r="AJ13" s="939">
        <f t="shared" si="1"/>
        <v>0</v>
      </c>
      <c r="AK13" s="939">
        <f t="shared" si="1"/>
        <v>0</v>
      </c>
      <c r="AL13" s="939">
        <f t="shared" si="1"/>
        <v>15</v>
      </c>
      <c r="AM13" s="939">
        <f t="shared" si="1"/>
        <v>13</v>
      </c>
      <c r="AN13" s="939">
        <f t="shared" si="1"/>
        <v>0</v>
      </c>
      <c r="AO13" s="939">
        <f t="shared" si="1"/>
        <v>0</v>
      </c>
      <c r="AP13" s="944">
        <f>IF(ISNUMBER(((Datos!L13/Datos!K13)*11)/factor_trimestre),((Datos!L13/Datos!K13)*11)/factor_trimestre," - ")</f>
        <v>5.5015801354401805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-0.76923076923076927</v>
      </c>
      <c r="AU13" s="939" t="str">
        <f>IF(ISNUMBER((DatosP!#REF!-DatosP!#REF!+DatosP!#REF!)/(DatosP!#REF!+DatosP!#REF!-DatosP!#REF!-DatosP!#REF!)),(DatosP!#REF!-DatosP!#REF!+DatosP!#REF!)/(DatosP!#REF!+DatosP!#REF!-DatosP!#REF!-DatosP!#REF!)," - ")</f>
        <v xml:space="preserve"> - </v>
      </c>
      <c r="AV13" s="945">
        <f>SUBTOTAL(9,AV9:AV12)</f>
        <v>-1.8929150892374257E-2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4.5319148936170217</v>
      </c>
      <c r="AQ18" s="944">
        <f>IF(ISNUMBER(((Datos!M18/Datos!L18)*11)/factor_trimestre),((Datos!M18/Datos!L18)*11)/factor_trimestre," - ")</f>
        <v>0.24895317853064336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3.2000000000000001E-2</v>
      </c>
      <c r="AW18" s="946">
        <f>IF(ISNUMBER((Datos!Q18-Datos!R18)/(Datos!S18-Datos!Q18+Datos!R18)),(Datos!Q18-Datos!R18)/(Datos!S18-Datos!Q18+Datos!R18)," - ")</f>
        <v>-8.0082135523613956E-2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26</v>
      </c>
      <c r="G19" s="951">
        <f t="shared" si="4"/>
        <v>28</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20</v>
      </c>
      <c r="AC19" s="957">
        <f t="shared" si="5"/>
        <v>0</v>
      </c>
      <c r="AD19" s="957">
        <f t="shared" si="5"/>
        <v>35</v>
      </c>
      <c r="AE19" s="957">
        <f t="shared" si="5"/>
        <v>0</v>
      </c>
      <c r="AF19" s="958">
        <f t="shared" si="5"/>
        <v>18</v>
      </c>
      <c r="AG19" s="958">
        <f t="shared" si="5"/>
        <v>0</v>
      </c>
      <c r="AH19" s="958">
        <f t="shared" si="5"/>
        <v>1814</v>
      </c>
      <c r="AI19" s="958">
        <f t="shared" si="5"/>
        <v>0</v>
      </c>
      <c r="AJ19" s="959">
        <f t="shared" si="5"/>
        <v>0</v>
      </c>
      <c r="AK19" s="959">
        <f t="shared" si="5"/>
        <v>0</v>
      </c>
      <c r="AL19" s="951">
        <f t="shared" si="5"/>
        <v>15</v>
      </c>
      <c r="AM19" s="951">
        <f t="shared" si="5"/>
        <v>13</v>
      </c>
      <c r="AN19" s="951">
        <f t="shared" si="5"/>
        <v>0</v>
      </c>
      <c r="AO19" s="951">
        <f t="shared" si="5"/>
        <v>0</v>
      </c>
      <c r="AP19" s="951">
        <f>IF(ISNUMBER(((Datos!L19/Datos!K19)*11)/factor_trimestre),((Datos!L19/Datos!K19)*11)/factor_trimestre," - ")</f>
        <v>5.0751138088012144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-0.76923076923076927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5.1144391070923993E-2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15.01110699893027</v>
      </c>
      <c r="G21" s="737">
        <f>IF(ISNUMBER(STDEV(G8:G18)),STDEV(G8:G18),"-")</f>
        <v>16.165807537309522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11.547005383792515</v>
      </c>
      <c r="AC21" s="738">
        <f>IF(ISNUMBER(STDEV(AC8:AC18)),STDEV(AC8:AC18),"-")</f>
        <v>0</v>
      </c>
      <c r="AD21" s="741"/>
      <c r="AE21" s="741"/>
      <c r="AF21" s="741"/>
      <c r="AG21" s="741"/>
      <c r="AH21" s="741"/>
      <c r="AI21" s="741"/>
      <c r="AJ21" s="742">
        <f>IF(ISNUMBER(STDEV(AJ8:AJ18)),STDEV(AJ8:AJ18),"-")</f>
        <v>0</v>
      </c>
      <c r="AK21" s="744"/>
      <c r="AL21" s="736">
        <f>IF(ISNUMBER(STDEV(AL8:AL18)),STDEV(AL8:AL18),"-")</f>
        <v>6.2449979983983983</v>
      </c>
      <c r="AM21" s="736"/>
      <c r="AN21" s="736">
        <f>IF(ISNUMBER(STDEV(AN8:AN18)),STDEV(AN8:AN18),"-")</f>
        <v>0</v>
      </c>
      <c r="AO21" s="742">
        <f>IF(ISNUMBER(STDEV(AO8:AO18)),STDEV(AO8:AO18),"-")</f>
        <v>0</v>
      </c>
      <c r="AP21" s="779">
        <f>IF(ISNUMBER(STDEV(AP8:AP18)),STDEV(AP8:AP18),"-")</f>
        <v>1.3569229852992144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QFWs+jStHUQU4cNODnp2GZpUZ56XpHZD+MQYhC4YJUQgcBSQ4G2Lk9cCKgceiAtl+gubhZogw0D1FzCXZOnkIw==" saltValue="tnRuA/krAXjsf8Uqxkl5R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